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OP-COVID19\"/>
    </mc:Choice>
  </mc:AlternateContent>
  <xr:revisionPtr revIDLastSave="0" documentId="13_ncr:1_{87971A13-1C1E-471F-A6C9-2A1C7D0EEF84}" xr6:coauthVersionLast="45" xr6:coauthVersionMax="45" xr10:uidLastSave="{00000000-0000-0000-0000-000000000000}"/>
  <bookViews>
    <workbookView xWindow="-135" yWindow="-135" windowWidth="29070" windowHeight="15870" activeTab="1" xr2:uid="{420AC56E-601A-4B8D-9627-D66B54995FEA}"/>
  </bookViews>
  <sheets>
    <sheet name="Summary" sheetId="4" r:id="rId1"/>
    <sheet name="Demand Input" sheetId="3" r:id="rId2"/>
    <sheet name="Financial Input" sheetId="5" r:id="rId3"/>
  </sheets>
  <definedNames>
    <definedName name="_xlnm.Print_Area" localSheetId="1">'Demand Input'!$A$1:$H$47</definedName>
    <definedName name="_xlnm.Print_Area" localSheetId="2">'Financial Input'!$A$1:$N$64</definedName>
    <definedName name="_xlnm.Print_Area" localSheetId="0">Summary!$B$1:$AI$35</definedName>
    <definedName name="Units" localSheetId="2">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3" l="1"/>
  <c r="B26" i="3"/>
  <c r="G26" i="3"/>
  <c r="F26" i="3"/>
  <c r="B101" i="4" l="1"/>
  <c r="C101" i="4"/>
  <c r="B102" i="4"/>
  <c r="C102" i="4"/>
  <c r="D102" i="4" s="1"/>
  <c r="B103" i="4"/>
  <c r="C103" i="4"/>
  <c r="B87" i="4"/>
  <c r="C87" i="4"/>
  <c r="B88" i="4"/>
  <c r="C88" i="4"/>
  <c r="B89" i="4"/>
  <c r="C89" i="4"/>
  <c r="B73" i="4"/>
  <c r="C73" i="4"/>
  <c r="B74" i="4"/>
  <c r="C74" i="4"/>
  <c r="B75" i="4"/>
  <c r="C75" i="4"/>
  <c r="B59" i="4"/>
  <c r="C59" i="4"/>
  <c r="B60" i="4"/>
  <c r="D60" i="4" s="1"/>
  <c r="C60" i="4"/>
  <c r="B61" i="4"/>
  <c r="C61" i="4"/>
  <c r="D101" i="4" l="1"/>
  <c r="D74" i="4"/>
  <c r="D73" i="4"/>
  <c r="D103" i="4"/>
  <c r="D59" i="4"/>
  <c r="D75" i="4"/>
  <c r="D89" i="4"/>
  <c r="D61" i="4"/>
  <c r="D88" i="4"/>
  <c r="D87" i="4"/>
  <c r="AI31" i="4"/>
  <c r="AF31" i="4"/>
  <c r="AC31" i="4"/>
  <c r="AI30" i="4"/>
  <c r="AF30" i="4"/>
  <c r="AC30" i="4"/>
  <c r="AI29" i="4"/>
  <c r="AF29" i="4"/>
  <c r="AC29" i="4"/>
  <c r="AH31" i="4"/>
  <c r="AE31" i="4"/>
  <c r="AB31" i="4"/>
  <c r="AH30" i="4"/>
  <c r="AE30" i="4"/>
  <c r="AB30" i="4"/>
  <c r="AH29" i="4"/>
  <c r="AE29" i="4"/>
  <c r="AB29" i="4"/>
  <c r="AB32" i="4" l="1"/>
  <c r="AH32" i="4"/>
  <c r="AI32" i="4"/>
  <c r="AE32" i="4"/>
  <c r="AC32" i="4"/>
  <c r="AF32" i="4"/>
  <c r="C95" i="4"/>
  <c r="C96" i="4"/>
  <c r="C98" i="4"/>
  <c r="C99" i="4"/>
  <c r="B95" i="4"/>
  <c r="B96" i="4"/>
  <c r="B98" i="4"/>
  <c r="B99" i="4"/>
  <c r="C57" i="4"/>
  <c r="C58" i="4"/>
  <c r="B57" i="4"/>
  <c r="B58" i="4"/>
  <c r="D95" i="4" l="1"/>
  <c r="AH33" i="4"/>
  <c r="D58" i="4"/>
  <c r="D98" i="4"/>
  <c r="AE33" i="4"/>
  <c r="AB33" i="4"/>
  <c r="D99" i="4"/>
  <c r="D96" i="4"/>
  <c r="D57" i="4"/>
  <c r="D25" i="3"/>
  <c r="C100" i="4" s="1"/>
  <c r="Y31" i="4" s="1"/>
  <c r="H25" i="3"/>
  <c r="B100" i="4" s="1"/>
  <c r="Z31" i="4" s="1"/>
  <c r="C25" i="3"/>
  <c r="C86" i="4" s="1"/>
  <c r="Y30" i="4" s="1"/>
  <c r="B25" i="3"/>
  <c r="C72" i="4" s="1"/>
  <c r="Y29" i="4" s="1"/>
  <c r="G25" i="3"/>
  <c r="B86" i="4" s="1"/>
  <c r="F25" i="3"/>
  <c r="B72" i="4" s="1"/>
  <c r="D72" i="4" l="1"/>
  <c r="Z29" i="4"/>
  <c r="D86" i="4"/>
  <c r="Z30" i="4"/>
  <c r="Y32" i="4"/>
  <c r="D100" i="4"/>
  <c r="G24" i="3"/>
  <c r="B85" i="4" s="1"/>
  <c r="F24" i="3"/>
  <c r="B71" i="4" s="1"/>
  <c r="C24" i="3"/>
  <c r="C85" i="4" s="1"/>
  <c r="B24" i="3"/>
  <c r="C71" i="4" s="1"/>
  <c r="Z32" i="4" l="1"/>
  <c r="Y33" i="4" s="1"/>
  <c r="D85" i="4"/>
  <c r="M11" i="5"/>
  <c r="M19" i="5"/>
  <c r="M23" i="5"/>
  <c r="M15" i="5"/>
  <c r="G23" i="3" l="1"/>
  <c r="F23" i="3"/>
  <c r="H22" i="3" l="1"/>
  <c r="B97" i="4" s="1"/>
  <c r="G22" i="3"/>
  <c r="F22" i="3"/>
  <c r="F21" i="3" l="1"/>
  <c r="G21" i="3"/>
  <c r="C19" i="3" l="1"/>
  <c r="D19" i="3"/>
  <c r="C94" i="4" s="1"/>
  <c r="C22" i="3"/>
  <c r="D22" i="3"/>
  <c r="C97" i="4" s="1"/>
  <c r="D97" i="4" s="1"/>
  <c r="G19" i="3"/>
  <c r="G20" i="3"/>
  <c r="H19" i="3"/>
  <c r="B94" i="4" s="1"/>
  <c r="F20" i="3" l="1"/>
  <c r="C23" i="3" l="1"/>
  <c r="B23" i="3"/>
  <c r="B22" i="3" l="1"/>
  <c r="C21" i="3"/>
  <c r="B21" i="3"/>
  <c r="C20" i="3"/>
  <c r="B20" i="3"/>
  <c r="B19" i="3"/>
  <c r="C18" i="3"/>
  <c r="B18" i="3"/>
  <c r="F18" i="3"/>
  <c r="G18" i="3"/>
  <c r="F19" i="3"/>
  <c r="B32" i="3" l="1"/>
  <c r="B14" i="3"/>
  <c r="A49" i="4"/>
  <c r="C93" i="4"/>
  <c r="B93" i="4"/>
  <c r="B52" i="4"/>
  <c r="C52" i="4"/>
  <c r="B53" i="4"/>
  <c r="C53" i="4"/>
  <c r="B54" i="4"/>
  <c r="C54" i="4"/>
  <c r="B55" i="4"/>
  <c r="C55" i="4"/>
  <c r="B56" i="4"/>
  <c r="C56" i="4"/>
  <c r="C51" i="4"/>
  <c r="B51" i="4"/>
  <c r="B66" i="4"/>
  <c r="C66" i="4"/>
  <c r="B67" i="4"/>
  <c r="C67" i="4"/>
  <c r="B68" i="4"/>
  <c r="C68" i="4"/>
  <c r="B69" i="4"/>
  <c r="C69" i="4"/>
  <c r="B70" i="4"/>
  <c r="C70" i="4"/>
  <c r="C65" i="4"/>
  <c r="B65" i="4"/>
  <c r="C80" i="4"/>
  <c r="C81" i="4"/>
  <c r="C82" i="4"/>
  <c r="C83" i="4"/>
  <c r="C84" i="4"/>
  <c r="C79" i="4"/>
  <c r="B80" i="4"/>
  <c r="B81" i="4"/>
  <c r="B82" i="4"/>
  <c r="B83" i="4"/>
  <c r="B84" i="4"/>
  <c r="B79" i="4"/>
  <c r="A5" i="3"/>
  <c r="B32" i="4" l="1"/>
  <c r="A91" i="4" l="1"/>
  <c r="B31" i="4" s="1"/>
  <c r="A77" i="4"/>
  <c r="B30" i="4" s="1"/>
  <c r="A63" i="4"/>
  <c r="B29" i="4" s="1"/>
  <c r="G31" i="4" l="1"/>
  <c r="J31" i="4"/>
  <c r="M31" i="4"/>
  <c r="P31" i="4"/>
  <c r="S31" i="4"/>
  <c r="V31" i="4"/>
  <c r="D31" i="4"/>
  <c r="G30" i="4"/>
  <c r="J30" i="4"/>
  <c r="M30" i="4"/>
  <c r="P30" i="4"/>
  <c r="S30" i="4"/>
  <c r="V30" i="4"/>
  <c r="D30" i="4"/>
  <c r="P29" i="4"/>
  <c r="S29" i="4"/>
  <c r="V29" i="4"/>
  <c r="D29" i="4"/>
  <c r="H31" i="4"/>
  <c r="K31" i="4"/>
  <c r="N31" i="4"/>
  <c r="Q31" i="4"/>
  <c r="T31" i="4"/>
  <c r="W31" i="4"/>
  <c r="E31" i="4"/>
  <c r="H30" i="4"/>
  <c r="K30" i="4"/>
  <c r="N30" i="4"/>
  <c r="Q30" i="4"/>
  <c r="T30" i="4"/>
  <c r="W30" i="4"/>
  <c r="E30" i="4"/>
  <c r="Q29" i="4"/>
  <c r="T29" i="4"/>
  <c r="W29" i="4"/>
  <c r="E29" i="4"/>
  <c r="P32" i="4" l="1"/>
  <c r="Q32" i="4"/>
  <c r="W32" i="4"/>
  <c r="T32" i="4"/>
  <c r="E32" i="4"/>
  <c r="V32" i="4"/>
  <c r="S32" i="4"/>
  <c r="D32" i="4"/>
  <c r="K29" i="4"/>
  <c r="K32" i="4" s="1"/>
  <c r="H29" i="4"/>
  <c r="H32" i="4" s="1"/>
  <c r="N29" i="4"/>
  <c r="N32" i="4" s="1"/>
  <c r="M29" i="4"/>
  <c r="M32" i="4" s="1"/>
  <c r="J29" i="4"/>
  <c r="J32" i="4" s="1"/>
  <c r="G29" i="4"/>
  <c r="G32" i="4" s="1"/>
  <c r="D69" i="4"/>
  <c r="D79" i="4"/>
  <c r="D94" i="4"/>
  <c r="D93" i="4"/>
  <c r="D82" i="4"/>
  <c r="D65" i="4"/>
  <c r="D81" i="4"/>
  <c r="D84" i="4"/>
  <c r="D80" i="4"/>
  <c r="D83" i="4"/>
  <c r="D68" i="4"/>
  <c r="D71" i="4"/>
  <c r="D67" i="4"/>
  <c r="D70" i="4"/>
  <c r="D66" i="4"/>
  <c r="D55" i="4"/>
  <c r="D51" i="4"/>
  <c r="D56" i="4"/>
  <c r="D54" i="4"/>
  <c r="D52" i="4"/>
  <c r="D53" i="4"/>
  <c r="G33" i="4" l="1"/>
  <c r="P33" i="4"/>
  <c r="J33" i="4"/>
  <c r="D33" i="4"/>
  <c r="M33" i="4"/>
  <c r="V33" i="4"/>
  <c r="S33" i="4"/>
</calcChain>
</file>

<file path=xl/sharedStrings.xml><?xml version="1.0" encoding="utf-8"?>
<sst xmlns="http://schemas.openxmlformats.org/spreadsheetml/2006/main" count="187" uniqueCount="61">
  <si>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</si>
  <si>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</si>
  <si>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</si>
  <si>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</si>
  <si>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</si>
  <si>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</si>
  <si>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</si>
  <si>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</si>
  <si>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</si>
  <si>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</si>
  <si>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</si>
  <si>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</si>
  <si>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</si>
  <si>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</si>
  <si>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</si>
  <si>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</si>
  <si>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</si>
  <si>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</si>
  <si>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</si>
  <si>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</si>
  <si>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</si>
  <si>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</si>
  <si>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</si>
  <si>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</si>
  <si>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</si>
  <si>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</si>
  <si>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</si>
  <si>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</si>
  <si>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</si>
  <si>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</si>
  <si>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</si>
  <si>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</si>
  <si>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</si>
  <si>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</si>
  <si>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</si>
  <si>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</si>
  <si>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</si>
  <si>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</si>
  <si>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</si>
  <si>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</si>
  <si>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</si>
  <si>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</si>
  <si>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</si>
  <si>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</si>
  <si>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</si>
  <si>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</si>
  <si>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90+ days</t>
  </si>
  <si>
    <t>Kent County Water Authority</t>
  </si>
  <si>
    <t>Select Produced Water Units:</t>
  </si>
  <si>
    <t>September</t>
  </si>
  <si>
    <t>October</t>
  </si>
  <si>
    <t>November</t>
  </si>
  <si>
    <t>December</t>
  </si>
  <si>
    <t xml:space="preserve">Kent County Water Authoirty </t>
  </si>
  <si>
    <r>
      <t xml:space="preserve">COVID-19 Impact Model                                                                                  </t>
    </r>
    <r>
      <rPr>
        <sz val="26"/>
        <color rgb="FF023B40"/>
        <rFont val="Calibri"/>
        <family val="2"/>
        <scheme val="minor"/>
      </rPr>
      <t>Kent County Water Authority Submission for PUC Docket 5026</t>
    </r>
  </si>
  <si>
    <t>Submission for PUC Docket 5026</t>
  </si>
  <si>
    <t xml:space="preserve">Page 2 of 3 </t>
  </si>
  <si>
    <t xml:space="preserve">Page 1 of 3 </t>
  </si>
  <si>
    <t xml:space="preserve">Page 3 of 3 </t>
  </si>
  <si>
    <r>
      <rPr>
        <sz val="20"/>
        <color rgb="FF023B40"/>
        <rFont val="Calibri"/>
        <family val="2"/>
        <scheme val="minor"/>
      </rPr>
      <t>Kent County Water Authority</t>
    </r>
    <r>
      <rPr>
        <sz val="20"/>
        <color theme="1"/>
        <rFont val="Calibri"/>
        <family val="2"/>
        <scheme val="minor"/>
      </rPr>
      <t xml:space="preserve"> </t>
    </r>
  </si>
  <si>
    <t>Page 3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</si>
</sst>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26"/>
      <color rgb="FF023B40"/>
      <name val="Calibri"/>
      <family val="2"/>
      <scheme val="minor"/>
    </font>
    <font>
      <sz val="8"/>
      <name val="Calibri"/>
      <family val="2"/>
      <scheme val="minor"/>
    </font>
    <font>
      <sz val="48"/>
      <color rgb="FF023B40"/>
      <name val="Calibri"/>
      <family val="2"/>
      <scheme val="minor"/>
    </font>
    <font>
      <sz val="48"/>
      <color theme="0"/>
      <name val="Calibri"/>
      <family val="2"/>
      <scheme val="minor"/>
    </font>
    <font>
      <sz val="22"/>
      <color rgb="FF023B40"/>
      <name val="Calibri"/>
      <family val="2"/>
      <scheme val="minor"/>
    </font>
    <font>
      <sz val="20"/>
      <color rgb="FF023B40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4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8" fillId="4" borderId="4" xfId="1" applyNumberFormat="1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0" fillId="0" borderId="0" xfId="0" applyFont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4" fillId="0" borderId="0" xfId="0" applyFont="1" applyFill="1" applyBorder="1" applyAlignment="1">
      <alignment horizontal="right" indent="1"/>
    </xf>
    <xf numFmtId="0" fontId="14" fillId="0" borderId="2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12" fillId="0" borderId="0" xfId="0" applyFont="1" applyFill="1" applyBorder="1" applyAlignment="1"/>
    <xf numFmtId="0" fontId="8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8" fillId="0" borderId="0" xfId="1" applyNumberFormat="1" applyFont="1" applyFill="1" applyBorder="1"/>
    <xf numFmtId="0" fontId="7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8" fillId="3" borderId="0" xfId="0" applyFont="1" applyFill="1"/>
    <xf numFmtId="4" fontId="8" fillId="4" borderId="4" xfId="1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11" fillId="0" borderId="0" xfId="0" applyFont="1" applyFill="1" applyBorder="1" applyAlignment="1"/>
    <xf numFmtId="0" fontId="6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3" fontId="0" fillId="0" borderId="0" xfId="0" applyNumberFormat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Summary!$A$49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Summary!$A$51:$A$61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Summary!$C$51:$C$61</c:f>
              <c:numCache>
                <c:formatCode>_(* #,##0.00_);_(* \(#,##0.00\);_(* "-"??_);_(@_)</c:formatCode>
                <c:ptCount val="11"/>
                <c:pt idx="0">
                  <c:v>173.84700000000001</c:v>
                </c:pt>
                <c:pt idx="1">
                  <c:v>195.333</c:v>
                </c:pt>
                <c:pt idx="2">
                  <c:v>193.55099999999999</c:v>
                </c:pt>
                <c:pt idx="3">
                  <c:v>228.09100000000001</c:v>
                </c:pt>
                <c:pt idx="4">
                  <c:v>257.89999999999998</c:v>
                </c:pt>
                <c:pt idx="5">
                  <c:v>333.37</c:v>
                </c:pt>
                <c:pt idx="6">
                  <c:v>323.49</c:v>
                </c:pt>
                <c:pt idx="7">
                  <c:v>282.52999999999997</c:v>
                </c:pt>
                <c:pt idx="8">
                  <c:v>208.72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Summary!$A$51:$A$61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Summary!$B$51:$B$61</c:f>
              <c:numCache>
                <c:formatCode>_(* #,##0.00_);_(* \(#,##0.00\);_(* "-"??_);_(@_)</c:formatCode>
                <c:ptCount val="11"/>
                <c:pt idx="0">
                  <c:v>167.53200000000001</c:v>
                </c:pt>
                <c:pt idx="1">
                  <c:v>190.30600000000001</c:v>
                </c:pt>
                <c:pt idx="2">
                  <c:v>178.22</c:v>
                </c:pt>
                <c:pt idx="3">
                  <c:v>240.625</c:v>
                </c:pt>
                <c:pt idx="4">
                  <c:v>348.57</c:v>
                </c:pt>
                <c:pt idx="5">
                  <c:v>381.34</c:v>
                </c:pt>
                <c:pt idx="6">
                  <c:v>370.12</c:v>
                </c:pt>
                <c:pt idx="7">
                  <c:v>320.39</c:v>
                </c:pt>
                <c:pt idx="8">
                  <c:v>233.34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Summary!$A$63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Summary!$A$65:$A$75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Summary!$C$65:$C$75</c:f>
              <c:numCache>
                <c:formatCode>_(* #,##0_);_(* \(#,##0\);_(* "-"??_);_(@_)</c:formatCode>
                <c:ptCount val="11"/>
                <c:pt idx="0">
                  <c:v>111009.96192</c:v>
                </c:pt>
                <c:pt idx="1">
                  <c:v>123525.13140000001</c:v>
                </c:pt>
                <c:pt idx="2">
                  <c:v>113258.78652000001</c:v>
                </c:pt>
                <c:pt idx="3">
                  <c:v>107128.05136</c:v>
                </c:pt>
                <c:pt idx="4">
                  <c:v>144930.45292000001</c:v>
                </c:pt>
                <c:pt idx="5">
                  <c:v>151028.01428</c:v>
                </c:pt>
                <c:pt idx="6">
                  <c:v>143816.33684</c:v>
                </c:pt>
                <c:pt idx="7">
                  <c:v>260607.45612000002</c:v>
                </c:pt>
                <c:pt idx="8">
                  <c:v>173601.36772000001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Summary!$A$65:$A$75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Summary!$B$65:$B$75</c:f>
              <c:numCache>
                <c:formatCode>_(* #,##0_);_(* \(#,##0\);_(* "-"??_);_(@_)</c:formatCode>
                <c:ptCount val="11"/>
                <c:pt idx="0">
                  <c:v>104204.22408000001</c:v>
                </c:pt>
                <c:pt idx="1">
                  <c:v>116687.49136</c:v>
                </c:pt>
                <c:pt idx="2">
                  <c:v>109598.96464000001</c:v>
                </c:pt>
                <c:pt idx="3">
                  <c:v>109656.01460000001</c:v>
                </c:pt>
                <c:pt idx="4">
                  <c:v>154696.23620000001</c:v>
                </c:pt>
                <c:pt idx="5">
                  <c:v>159889.35336000001</c:v>
                </c:pt>
                <c:pt idx="6">
                  <c:v>160013.98512</c:v>
                </c:pt>
                <c:pt idx="7">
                  <c:v>337995.64084000001</c:v>
                </c:pt>
                <c:pt idx="8">
                  <c:v>243049.08364000003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Summary!$A$77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Summary!$A$79:$A$89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Summary!$C$79:$C$89</c:f>
              <c:numCache>
                <c:formatCode>_(* #,##0_);_(* \(#,##0\);_(* "-"??_);_(@_)</c:formatCode>
                <c:ptCount val="11"/>
                <c:pt idx="0">
                  <c:v>24891.70464</c:v>
                </c:pt>
                <c:pt idx="1">
                  <c:v>42416.79552</c:v>
                </c:pt>
                <c:pt idx="2">
                  <c:v>33427.880640000003</c:v>
                </c:pt>
                <c:pt idx="3">
                  <c:v>26254.44844</c:v>
                </c:pt>
                <c:pt idx="4">
                  <c:v>33248.873200000002</c:v>
                </c:pt>
                <c:pt idx="5">
                  <c:v>42679.937520000007</c:v>
                </c:pt>
                <c:pt idx="6">
                  <c:v>34036.498319999999</c:v>
                </c:pt>
                <c:pt idx="7">
                  <c:v>86367.775120000006</c:v>
                </c:pt>
                <c:pt idx="8">
                  <c:v>49561.754440000004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Summary!$A$79:$A$89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Summary!$B$79:$B$89</c:f>
              <c:numCache>
                <c:formatCode>_(* #,##0_);_(* \(#,##0\);_(* "-"??_);_(@_)</c:formatCode>
                <c:ptCount val="11"/>
                <c:pt idx="0">
                  <c:v>27184.287240000001</c:v>
                </c:pt>
                <c:pt idx="1">
                  <c:v>30591.783840000004</c:v>
                </c:pt>
                <c:pt idx="2">
                  <c:v>30008.585640000001</c:v>
                </c:pt>
                <c:pt idx="3">
                  <c:v>21459.484200000003</c:v>
                </c:pt>
                <c:pt idx="4">
                  <c:v>47687.401080000003</c:v>
                </c:pt>
                <c:pt idx="5">
                  <c:v>33702.69584</c:v>
                </c:pt>
                <c:pt idx="6">
                  <c:v>30630.764560000003</c:v>
                </c:pt>
                <c:pt idx="7">
                  <c:v>87939.966400000005</c:v>
                </c:pt>
                <c:pt idx="8">
                  <c:v>51017.646679999998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Summary!$A$91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Summary!$A$93:$A$103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Summary!$C$93:$C$103</c:f>
              <c:numCache>
                <c:formatCode>_(* #,##0_);_(* \(#,##0\);_(* "-"??_);_(@_)</c:formatCode>
                <c:ptCount val="11"/>
                <c:pt idx="0">
                  <c:v>0</c:v>
                </c:pt>
                <c:pt idx="1">
                  <c:v>14013.78</c:v>
                </c:pt>
                <c:pt idx="2">
                  <c:v>0</c:v>
                </c:pt>
                <c:pt idx="3">
                  <c:v>0</c:v>
                </c:pt>
                <c:pt idx="4">
                  <c:v>30443.599999999999</c:v>
                </c:pt>
                <c:pt idx="5">
                  <c:v>0</c:v>
                </c:pt>
                <c:pt idx="6">
                  <c:v>0</c:v>
                </c:pt>
                <c:pt idx="7">
                  <c:v>38376.14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Summary!$A$93:$A$103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Summary!$B$93:$B$103</c:f>
              <c:numCache>
                <c:formatCode>_(* #,##0_);_(* \(#,##0\);_(* "-"??_);_(@_)</c:formatCode>
                <c:ptCount val="11"/>
                <c:pt idx="0">
                  <c:v>0</c:v>
                </c:pt>
                <c:pt idx="1">
                  <c:v>21965.02</c:v>
                </c:pt>
                <c:pt idx="2">
                  <c:v>0</c:v>
                </c:pt>
                <c:pt idx="3">
                  <c:v>0</c:v>
                </c:pt>
                <c:pt idx="4">
                  <c:v>27331</c:v>
                </c:pt>
                <c:pt idx="5">
                  <c:v>0</c:v>
                </c:pt>
                <c:pt idx="6">
                  <c:v>0</c:v>
                </c:pt>
                <c:pt idx="7">
                  <c:v>50400.24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622300</xdr:colOff>
      <xdr:row>0</xdr:row>
      <xdr:rowOff>1323983</xdr:rowOff>
    </xdr:from>
    <xdr:to>
      <xdr:col>34</xdr:col>
      <xdr:colOff>611717</xdr:colOff>
      <xdr:row>16</xdr:row>
      <xdr:rowOff>21165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11641</xdr:colOff>
      <xdr:row>15</xdr:row>
      <xdr:rowOff>174103</xdr:rowOff>
    </xdr:from>
    <xdr:to>
      <xdr:col>10</xdr:col>
      <xdr:colOff>156041</xdr:colOff>
      <xdr:row>27</xdr:row>
      <xdr:rowOff>10583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10</xdr:col>
      <xdr:colOff>153458</xdr:colOff>
      <xdr:row>15</xdr:row>
      <xdr:rowOff>184686</xdr:rowOff>
    </xdr:from>
    <xdr:to>
      <xdr:col>22</xdr:col>
      <xdr:colOff>260815</xdr:colOff>
      <xdr:row>26</xdr:row>
      <xdr:rowOff>184686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22</xdr:col>
      <xdr:colOff>254000</xdr:colOff>
      <xdr:row>16</xdr:row>
      <xdr:rowOff>25936</xdr:rowOff>
    </xdr:from>
    <xdr:to>
      <xdr:col>35</xdr:col>
      <xdr:colOff>12107</xdr:colOff>
      <xdr:row>27</xdr:row>
      <xdr:rowOff>25936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C103"/>
  <sheetViews>
    <sheetView view="pageBreakPreview" topLeftCell="A16" zoomScale="90" zoomScaleNormal="90" zoomScaleSheetLayoutView="90" workbookViewId="0">
      <selection activeCell="Q38" sqref="Q38"/>
    </sheetView>
  </sheetViews>
  <sheetFormatPr defaultRowHeight="14.4" x14ac:dyDescent="0.3"/>
  <cols>
    <col min="1" max="1" width="9.33203125" customWidth="1"/>
    <col min="2" max="2" width="17.6640625" bestFit="1" customWidth="1"/>
    <col min="3" max="3" width="12.6640625" customWidth="1"/>
    <col min="4" max="4" width="9.5546875" customWidth="1"/>
    <col min="5" max="5" width="9.5546875" style="9" customWidth="1"/>
    <col min="6" max="6" width="1" style="9" customWidth="1"/>
    <col min="7" max="7" width="9.5546875" customWidth="1"/>
    <col min="8" max="8" width="9.5546875" style="9" customWidth="1"/>
    <col min="9" max="9" width="1" style="9" customWidth="1"/>
    <col min="10" max="10" width="9.5546875" customWidth="1"/>
    <col min="11" max="11" width="9.5546875" style="9" customWidth="1"/>
    <col min="12" max="12" width="1" style="9" customWidth="1"/>
    <col min="13" max="13" width="9.5546875" customWidth="1"/>
    <col min="14" max="14" width="9.5546875" style="9" customWidth="1"/>
    <col min="15" max="15" width="1" style="9" customWidth="1"/>
    <col min="16" max="16" width="9.5546875" customWidth="1"/>
    <col min="17" max="17" width="9.5546875" style="9" customWidth="1"/>
    <col min="18" max="18" width="1" style="9" customWidth="1"/>
    <col min="19" max="19" width="9.5546875" customWidth="1"/>
    <col min="20" max="20" width="9.5546875" style="9" customWidth="1"/>
    <col min="21" max="21" width="1" style="9" customWidth="1"/>
    <col min="22" max="23" width="9.5546875" customWidth="1"/>
    <col min="24" max="24" width="1" customWidth="1"/>
    <col min="27" max="27" width="1" customWidth="1"/>
    <col min="30" max="30" width="1" customWidth="1"/>
    <col min="33" max="33" width="1" customWidth="1"/>
  </cols>
  <sheetData>
    <row r="1" spans="1:55" ht="108.75" customHeight="1" x14ac:dyDescent="1.4">
      <c r="A1" s="50"/>
      <c r="B1" s="52" t="s">
        <v>54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29"/>
      <c r="AK1" s="29"/>
      <c r="AL1" s="29"/>
      <c r="AM1" s="29"/>
      <c r="AN1" s="29"/>
      <c r="AO1" s="29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4" x14ac:dyDescent="0.3">
      <c r="A2" s="30"/>
      <c r="B2" s="51" t="s">
        <v>53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29"/>
      <c r="AK2" s="29"/>
      <c r="AL2" s="29"/>
      <c r="AM2" s="29"/>
      <c r="AN2" s="29"/>
      <c r="AO2" s="29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1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1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3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3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3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3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3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3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3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3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3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3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3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3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3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3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3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3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3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3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3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3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3">
      <c r="A28" s="29"/>
      <c r="B28" s="13" t="s">
        <v>22</v>
      </c>
      <c r="C28" s="11"/>
      <c r="D28" s="53" t="s">
        <v>8</v>
      </c>
      <c r="E28" s="53"/>
      <c r="F28" s="16"/>
      <c r="G28" s="53" t="s">
        <v>9</v>
      </c>
      <c r="H28" s="53"/>
      <c r="I28" s="16"/>
      <c r="J28" s="53" t="s">
        <v>10</v>
      </c>
      <c r="K28" s="53"/>
      <c r="L28" s="16"/>
      <c r="M28" s="53" t="s">
        <v>2</v>
      </c>
      <c r="N28" s="53"/>
      <c r="O28" s="16"/>
      <c r="P28" s="53" t="s">
        <v>11</v>
      </c>
      <c r="Q28" s="53"/>
      <c r="R28" s="16"/>
      <c r="S28" s="53" t="s">
        <v>12</v>
      </c>
      <c r="T28" s="53"/>
      <c r="U28" s="16"/>
      <c r="V28" s="53" t="s">
        <v>13</v>
      </c>
      <c r="W28" s="53"/>
      <c r="X28" s="11"/>
      <c r="Y28" s="53" t="s">
        <v>49</v>
      </c>
      <c r="Z28" s="53"/>
      <c r="AA28" s="11"/>
      <c r="AB28" s="53" t="s">
        <v>50</v>
      </c>
      <c r="AC28" s="53"/>
      <c r="AD28" s="11"/>
      <c r="AE28" s="53" t="s">
        <v>51</v>
      </c>
      <c r="AF28" s="53"/>
      <c r="AG28" s="11"/>
      <c r="AH28" s="53" t="s">
        <v>52</v>
      </c>
      <c r="AI28" s="53"/>
      <c r="AJ28" s="29"/>
      <c r="AK28" s="29"/>
      <c r="AL28" s="29"/>
      <c r="AM28" s="29"/>
      <c r="AN28" s="29"/>
      <c r="AO28" s="29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3">
      <c r="A29" s="29"/>
      <c r="B29" s="12" t="str">
        <f>A63</f>
        <v>Residential Demand (Kgal)</v>
      </c>
      <c r="C29" s="11"/>
      <c r="D29" s="15">
        <f>C65</f>
        <v>111009.96192</v>
      </c>
      <c r="E29" s="14">
        <f>B65</f>
        <v>104204.22408000001</v>
      </c>
      <c r="G29" s="15">
        <f>C66</f>
        <v>123525.13140000001</v>
      </c>
      <c r="H29" s="14">
        <f>B66</f>
        <v>116687.49136</v>
      </c>
      <c r="J29" s="15">
        <f>C67</f>
        <v>113258.78652000001</v>
      </c>
      <c r="K29" s="14">
        <f>B67</f>
        <v>109598.96464000001</v>
      </c>
      <c r="M29" s="15">
        <f>C68</f>
        <v>107128.05136</v>
      </c>
      <c r="N29" s="14">
        <f>B68</f>
        <v>109656.01460000001</v>
      </c>
      <c r="P29" s="15">
        <f>C69</f>
        <v>144930.45292000001</v>
      </c>
      <c r="Q29" s="14">
        <f>B69</f>
        <v>154696.23620000001</v>
      </c>
      <c r="S29" s="15">
        <f>C70</f>
        <v>151028.01428</v>
      </c>
      <c r="T29" s="14">
        <f>B70</f>
        <v>159889.35336000001</v>
      </c>
      <c r="V29" s="15">
        <f>C71</f>
        <v>143816.33684</v>
      </c>
      <c r="W29" s="14">
        <f>B71</f>
        <v>160013.98512</v>
      </c>
      <c r="X29" s="29"/>
      <c r="Y29" s="15">
        <f>C72</f>
        <v>260607.45612000002</v>
      </c>
      <c r="Z29" s="14">
        <f>B72</f>
        <v>337995.64084000001</v>
      </c>
      <c r="AA29" s="29"/>
      <c r="AB29" s="15">
        <f>C73</f>
        <v>173601.36772000001</v>
      </c>
      <c r="AC29" s="14">
        <f>B73</f>
        <v>243049.08364000003</v>
      </c>
      <c r="AD29" s="29"/>
      <c r="AE29" s="15">
        <f>C74</f>
        <v>0</v>
      </c>
      <c r="AF29" s="14">
        <f>B74</f>
        <v>0</v>
      </c>
      <c r="AG29" s="29"/>
      <c r="AH29" s="15">
        <f>C75</f>
        <v>0</v>
      </c>
      <c r="AI29" s="14">
        <f>B75</f>
        <v>0</v>
      </c>
      <c r="AJ29" s="29"/>
      <c r="AK29" s="29"/>
      <c r="AL29" s="29"/>
      <c r="AM29" s="29"/>
      <c r="AN29" s="29"/>
      <c r="AO29" s="29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3">
      <c r="A30" s="29"/>
      <c r="B30" s="12" t="str">
        <f>A77</f>
        <v>Non-Residential Demand (Kgal)</v>
      </c>
      <c r="C30" s="11"/>
      <c r="D30" s="15">
        <f>C79</f>
        <v>24891.70464</v>
      </c>
      <c r="E30" s="14">
        <f>B79</f>
        <v>27184.287240000001</v>
      </c>
      <c r="G30" s="15">
        <f>C80</f>
        <v>42416.79552</v>
      </c>
      <c r="H30" s="14">
        <f>B80</f>
        <v>30591.783840000004</v>
      </c>
      <c r="J30" s="15">
        <f>C81</f>
        <v>33427.880640000003</v>
      </c>
      <c r="K30" s="14">
        <f>B81</f>
        <v>30008.585640000001</v>
      </c>
      <c r="M30" s="15">
        <f>C82</f>
        <v>26254.44844</v>
      </c>
      <c r="N30" s="14">
        <f>B82</f>
        <v>21459.484200000003</v>
      </c>
      <c r="P30" s="15">
        <f>C83</f>
        <v>33248.873200000002</v>
      </c>
      <c r="Q30" s="14">
        <f>B83</f>
        <v>47687.401080000003</v>
      </c>
      <c r="S30" s="15">
        <f>C84</f>
        <v>42679.937520000007</v>
      </c>
      <c r="T30" s="14">
        <f>B84</f>
        <v>33702.69584</v>
      </c>
      <c r="V30" s="15">
        <f>C85</f>
        <v>34036.498319999999</v>
      </c>
      <c r="W30" s="14">
        <f>B85</f>
        <v>30630.764560000003</v>
      </c>
      <c r="X30" s="29"/>
      <c r="Y30" s="15">
        <f>C86</f>
        <v>86367.775120000006</v>
      </c>
      <c r="Z30" s="14">
        <f>B86</f>
        <v>87939.966400000005</v>
      </c>
      <c r="AA30" s="29"/>
      <c r="AB30" s="15">
        <f>C87</f>
        <v>49561.754440000004</v>
      </c>
      <c r="AC30" s="14">
        <f>B87</f>
        <v>51017.646679999998</v>
      </c>
      <c r="AD30" s="29"/>
      <c r="AE30" s="15">
        <f>C88</f>
        <v>0</v>
      </c>
      <c r="AF30" s="14">
        <f>B88</f>
        <v>0</v>
      </c>
      <c r="AG30" s="29"/>
      <c r="AH30" s="15">
        <f>C89</f>
        <v>0</v>
      </c>
      <c r="AI30" s="14">
        <f>B89</f>
        <v>0</v>
      </c>
      <c r="AJ30" s="29"/>
      <c r="AK30" s="29"/>
      <c r="AL30" s="29"/>
      <c r="AM30" s="29"/>
      <c r="AN30" s="29"/>
      <c r="AO30" s="29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3">
      <c r="A31" s="29"/>
      <c r="B31" s="12" t="str">
        <f>A91</f>
        <v>Wholesale Demand (Kgal)</v>
      </c>
      <c r="C31" s="11"/>
      <c r="D31" s="15">
        <f>C93</f>
        <v>0</v>
      </c>
      <c r="E31" s="14">
        <f>B93</f>
        <v>0</v>
      </c>
      <c r="G31" s="15">
        <f>C94</f>
        <v>14013.78</v>
      </c>
      <c r="H31" s="14">
        <f>B94</f>
        <v>21965.02</v>
      </c>
      <c r="J31" s="15">
        <f>C95</f>
        <v>0</v>
      </c>
      <c r="K31" s="14">
        <f>B95</f>
        <v>0</v>
      </c>
      <c r="M31" s="15">
        <f>C96</f>
        <v>0</v>
      </c>
      <c r="N31" s="14">
        <f>B96</f>
        <v>0</v>
      </c>
      <c r="P31" s="15">
        <f>C97</f>
        <v>30443.599999999999</v>
      </c>
      <c r="Q31" s="14">
        <f>B97</f>
        <v>27331</v>
      </c>
      <c r="S31" s="15">
        <f>C98</f>
        <v>0</v>
      </c>
      <c r="T31" s="14">
        <f>B98</f>
        <v>0</v>
      </c>
      <c r="V31" s="15">
        <f>C99</f>
        <v>0</v>
      </c>
      <c r="W31" s="14">
        <f>B99</f>
        <v>0</v>
      </c>
      <c r="X31" s="29"/>
      <c r="Y31" s="15">
        <f>C100</f>
        <v>38376.14</v>
      </c>
      <c r="Z31" s="14">
        <f>B100</f>
        <v>50400.24</v>
      </c>
      <c r="AA31" s="29"/>
      <c r="AB31" s="15">
        <f>C101</f>
        <v>0</v>
      </c>
      <c r="AC31" s="14">
        <f>B101</f>
        <v>0</v>
      </c>
      <c r="AD31" s="29"/>
      <c r="AE31" s="15">
        <f>C102</f>
        <v>0</v>
      </c>
      <c r="AF31" s="14">
        <f>B102</f>
        <v>0</v>
      </c>
      <c r="AG31" s="29"/>
      <c r="AH31" s="15">
        <f>C103</f>
        <v>0</v>
      </c>
      <c r="AI31" s="14">
        <f>B103</f>
        <v>0</v>
      </c>
      <c r="AJ31" s="29"/>
      <c r="AK31" s="29"/>
      <c r="AL31" s="29"/>
      <c r="AM31" s="29"/>
      <c r="AN31" s="29"/>
      <c r="AO31" s="29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3">
      <c r="A32" s="29"/>
      <c r="B32" s="12" t="str">
        <f>"Total Demand ("&amp;'Demand Input'!$C$9&amp;")"</f>
        <v>Total Demand (Kgal)</v>
      </c>
      <c r="C32" s="11"/>
      <c r="D32" s="15">
        <f>SUM(D29:D31)</f>
        <v>135901.66656000001</v>
      </c>
      <c r="E32" s="14">
        <f>SUM(E29:E31)</f>
        <v>131388.51132000002</v>
      </c>
      <c r="G32" s="15">
        <f>SUM(G29:G31)</f>
        <v>179955.70692</v>
      </c>
      <c r="H32" s="14">
        <f>SUM(H29:H31)</f>
        <v>169244.29519999999</v>
      </c>
      <c r="J32" s="15">
        <f>SUM(J29:J31)</f>
        <v>146686.66716000001</v>
      </c>
      <c r="K32" s="14">
        <f>SUM(K29:K31)</f>
        <v>139607.55028</v>
      </c>
      <c r="M32" s="15">
        <f>SUM(M29:M31)</f>
        <v>133382.49979999999</v>
      </c>
      <c r="N32" s="14">
        <f>SUM(N29:N31)</f>
        <v>131115.4988</v>
      </c>
      <c r="P32" s="15">
        <f>SUM(P29:P31)</f>
        <v>208622.92612000002</v>
      </c>
      <c r="Q32" s="14">
        <f>SUM(Q29:Q31)</f>
        <v>229714.63728000002</v>
      </c>
      <c r="S32" s="15">
        <f>SUM(S29:S31)</f>
        <v>193707.95180000001</v>
      </c>
      <c r="T32" s="14">
        <f>SUM(T29:T31)</f>
        <v>193592.04920000001</v>
      </c>
      <c r="V32" s="15">
        <f>SUM(V29:V31)</f>
        <v>177852.83516000002</v>
      </c>
      <c r="W32" s="14">
        <f>SUM(W29:W31)</f>
        <v>190644.74968000001</v>
      </c>
      <c r="X32" s="29"/>
      <c r="Y32" s="15">
        <f>SUM(Y29:Y31)</f>
        <v>385351.37124000001</v>
      </c>
      <c r="Z32" s="14">
        <f>SUM(Z29:Z31)</f>
        <v>476335.84724000003</v>
      </c>
      <c r="AA32" s="29"/>
      <c r="AB32" s="15">
        <f>SUM(AB29:AB31)</f>
        <v>223163.12216000003</v>
      </c>
      <c r="AC32" s="14">
        <f>SUM(AC29:AC31)</f>
        <v>294066.73032000003</v>
      </c>
      <c r="AD32" s="29"/>
      <c r="AE32" s="15">
        <f>SUM(AE29:AE31)</f>
        <v>0</v>
      </c>
      <c r="AF32" s="14">
        <f>SUM(AF29:AF31)</f>
        <v>0</v>
      </c>
      <c r="AG32" s="29"/>
      <c r="AH32" s="15">
        <f>SUM(AH29:AH31)</f>
        <v>0</v>
      </c>
      <c r="AI32" s="14">
        <f>SUM(AI29:AI31)</f>
        <v>0</v>
      </c>
      <c r="AJ32" s="29"/>
      <c r="AK32" s="29"/>
      <c r="AL32" s="29"/>
      <c r="AM32" s="29"/>
      <c r="AN32" s="29"/>
      <c r="AO32" s="29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3">
      <c r="A33" s="29"/>
      <c r="B33" s="12" t="s">
        <v>14</v>
      </c>
      <c r="C33" s="11"/>
      <c r="D33" s="54">
        <f>E32/D32-1</f>
        <v>-3.3208976418309444E-2</v>
      </c>
      <c r="E33" s="54"/>
      <c r="F33" s="19"/>
      <c r="G33" s="54">
        <f>H32/G32-1</f>
        <v>-5.9522489746667517E-2</v>
      </c>
      <c r="H33" s="54"/>
      <c r="I33" s="19"/>
      <c r="J33" s="54">
        <f>K32/J32-1</f>
        <v>-4.8260124911546298E-2</v>
      </c>
      <c r="K33" s="54"/>
      <c r="L33" s="19"/>
      <c r="M33" s="54">
        <f>N32/M32-1</f>
        <v>-1.6996240161934573E-2</v>
      </c>
      <c r="N33" s="54"/>
      <c r="O33" s="19"/>
      <c r="P33" s="54">
        <f>Q32/P32-1</f>
        <v>0.10109968042471063</v>
      </c>
      <c r="Q33" s="54"/>
      <c r="R33" s="19"/>
      <c r="S33" s="54">
        <f>T32/S32-1</f>
        <v>-5.9833682057441884E-4</v>
      </c>
      <c r="T33" s="54"/>
      <c r="U33" s="19"/>
      <c r="V33" s="54">
        <f>W32/V32-1</f>
        <v>7.1924152957652421E-2</v>
      </c>
      <c r="W33" s="54"/>
      <c r="X33" s="11"/>
      <c r="Y33" s="54">
        <f>Z32/Y32-1</f>
        <v>0.23610782986765111</v>
      </c>
      <c r="Z33" s="54"/>
      <c r="AA33" s="29"/>
      <c r="AB33" s="54">
        <f>AC32/AB32-1</f>
        <v>0.31772099025019296</v>
      </c>
      <c r="AC33" s="54"/>
      <c r="AD33" s="11"/>
      <c r="AE33" s="54" t="e">
        <f>AF32/AE32-1</f>
        <v>#DIV/0!</v>
      </c>
      <c r="AF33" s="54"/>
      <c r="AG33" s="11"/>
      <c r="AH33" s="54" t="e">
        <f>AI32/AH32-1</f>
        <v>#DIV/0!</v>
      </c>
      <c r="AI33" s="54"/>
      <c r="AJ33" s="29"/>
      <c r="AK33" s="29"/>
      <c r="AL33" s="29"/>
      <c r="AM33" s="29"/>
      <c r="AN33" s="29"/>
      <c r="AO33" s="29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s="9" customFormat="1" ht="6" customHeight="1" x14ac:dyDescent="0.3">
      <c r="A34" s="29"/>
      <c r="B34" s="11"/>
      <c r="C34" s="11"/>
      <c r="D34" s="11"/>
      <c r="E34" s="11"/>
      <c r="F34" s="16"/>
      <c r="G34" s="11"/>
      <c r="H34" s="11"/>
      <c r="I34" s="16"/>
      <c r="J34" s="11"/>
      <c r="K34" s="11"/>
      <c r="L34" s="16"/>
      <c r="M34" s="11"/>
      <c r="N34" s="11"/>
      <c r="O34" s="16"/>
      <c r="P34" s="11"/>
      <c r="Q34" s="11"/>
      <c r="R34" s="16"/>
      <c r="S34" s="11"/>
      <c r="T34" s="11"/>
      <c r="U34" s="16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29"/>
      <c r="AK34" s="29"/>
      <c r="AL34" s="29"/>
      <c r="AM34" s="29"/>
      <c r="AN34" s="29"/>
      <c r="AO34" s="29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3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 t="s">
        <v>57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x14ac:dyDescent="0.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s="9" customFormat="1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s="9" customFormat="1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3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3">
      <c r="Z46" s="31"/>
      <c r="AA46" s="31"/>
      <c r="AB46" s="31"/>
      <c r="AC46" s="31"/>
      <c r="AD46" s="31"/>
      <c r="AE46" s="31"/>
    </row>
    <row r="47" spans="1:55" s="9" customFormat="1" x14ac:dyDescent="0.3">
      <c r="A47" s="55" t="s">
        <v>23</v>
      </c>
      <c r="B47" s="55"/>
      <c r="C47" s="55"/>
      <c r="D47" s="55"/>
      <c r="E47" s="55"/>
      <c r="Z47" s="31"/>
      <c r="AA47" s="31"/>
      <c r="AB47" s="31"/>
      <c r="AC47" s="31"/>
      <c r="AD47" s="31"/>
      <c r="AE47" s="31"/>
    </row>
    <row r="48" spans="1:55" s="9" customFormat="1" x14ac:dyDescent="0.3">
      <c r="A48" s="24"/>
      <c r="B48" s="24"/>
      <c r="C48" s="24"/>
      <c r="D48" s="24"/>
      <c r="E48" s="24"/>
      <c r="Z48" s="31"/>
      <c r="AA48" s="31"/>
      <c r="AB48" s="31"/>
      <c r="AC48" s="31"/>
      <c r="AD48" s="31"/>
      <c r="AE48" s="31"/>
    </row>
    <row r="49" spans="1:31" x14ac:dyDescent="0.3">
      <c r="A49" s="7" t="str">
        <f>"Water Produced ("&amp;'Demand Input'!$C$10&amp;")"</f>
        <v>Water Produced (MG)</v>
      </c>
      <c r="Z49" s="31"/>
      <c r="AA49" s="31"/>
      <c r="AB49" s="31"/>
      <c r="AC49" s="31"/>
      <c r="AD49" s="31"/>
      <c r="AE49" s="31"/>
    </row>
    <row r="50" spans="1:31" x14ac:dyDescent="0.3">
      <c r="A50" s="2" t="s">
        <v>3</v>
      </c>
      <c r="B50" s="3" t="s">
        <v>0</v>
      </c>
      <c r="C50" s="3" t="s">
        <v>1</v>
      </c>
      <c r="D50" t="s">
        <v>7</v>
      </c>
      <c r="Z50" s="31"/>
      <c r="AA50" s="31"/>
      <c r="AB50" s="31"/>
      <c r="AC50" s="31"/>
      <c r="AD50" s="31"/>
      <c r="AE50" s="31"/>
    </row>
    <row r="51" spans="1:31" x14ac:dyDescent="0.3">
      <c r="A51" s="1" t="s">
        <v>8</v>
      </c>
      <c r="B51" s="23">
        <f>'Demand Input'!F35</f>
        <v>167.53200000000001</v>
      </c>
      <c r="C51" s="23">
        <f>'Demand Input'!D35</f>
        <v>173.84700000000001</v>
      </c>
      <c r="D51" s="5">
        <f t="shared" ref="D51:D58" si="0">B51/C51</f>
        <v>0.96367495556437555</v>
      </c>
      <c r="E51" s="5"/>
      <c r="F51" s="5"/>
      <c r="I51" s="5"/>
      <c r="L51" s="5"/>
      <c r="O51" s="5"/>
      <c r="R51" s="5"/>
      <c r="U51" s="5"/>
    </row>
    <row r="52" spans="1:31" x14ac:dyDescent="0.3">
      <c r="A52" s="1" t="s">
        <v>9</v>
      </c>
      <c r="B52" s="23">
        <f>'Demand Input'!F36</f>
        <v>190.30600000000001</v>
      </c>
      <c r="C52" s="23">
        <f>'Demand Input'!D36</f>
        <v>195.333</v>
      </c>
      <c r="D52" s="5">
        <f t="shared" si="0"/>
        <v>0.97426446120215227</v>
      </c>
      <c r="E52" s="5"/>
      <c r="F52" s="5"/>
      <c r="I52" s="5"/>
      <c r="L52" s="5"/>
      <c r="O52" s="5"/>
      <c r="R52" s="5"/>
      <c r="U52" s="5"/>
    </row>
    <row r="53" spans="1:31" x14ac:dyDescent="0.3">
      <c r="A53" s="1" t="s">
        <v>10</v>
      </c>
      <c r="B53" s="23">
        <f>'Demand Input'!F37</f>
        <v>178.22</v>
      </c>
      <c r="C53" s="23">
        <f>'Demand Input'!D37</f>
        <v>193.55099999999999</v>
      </c>
      <c r="D53" s="5">
        <f t="shared" si="0"/>
        <v>0.92079090265614749</v>
      </c>
      <c r="E53" s="5"/>
      <c r="F53" s="5"/>
      <c r="I53" s="5"/>
      <c r="L53" s="5"/>
      <c r="O53" s="5"/>
      <c r="R53" s="5"/>
      <c r="U53" s="5"/>
    </row>
    <row r="54" spans="1:31" x14ac:dyDescent="0.3">
      <c r="A54" s="1" t="s">
        <v>2</v>
      </c>
      <c r="B54" s="23">
        <f>'Demand Input'!F38</f>
        <v>240.625</v>
      </c>
      <c r="C54" s="23">
        <f>'Demand Input'!D38</f>
        <v>228.09100000000001</v>
      </c>
      <c r="D54" s="5">
        <f t="shared" si="0"/>
        <v>1.0549517517131319</v>
      </c>
      <c r="E54" s="5"/>
      <c r="F54" s="5"/>
      <c r="I54" s="5"/>
      <c r="L54" s="5"/>
      <c r="O54" s="5"/>
      <c r="R54" s="5"/>
      <c r="U54" s="5"/>
    </row>
    <row r="55" spans="1:31" x14ac:dyDescent="0.3">
      <c r="A55" s="1" t="s">
        <v>11</v>
      </c>
      <c r="B55" s="23">
        <f>'Demand Input'!F39</f>
        <v>348.57</v>
      </c>
      <c r="C55" s="23">
        <f>'Demand Input'!D39</f>
        <v>257.89999999999998</v>
      </c>
      <c r="D55" s="5">
        <f t="shared" si="0"/>
        <v>1.3515703761147733</v>
      </c>
      <c r="E55" s="5"/>
      <c r="F55" s="5"/>
      <c r="I55" s="5"/>
      <c r="L55" s="5"/>
      <c r="O55" s="5"/>
      <c r="R55" s="5"/>
      <c r="U55" s="5"/>
    </row>
    <row r="56" spans="1:31" x14ac:dyDescent="0.3">
      <c r="A56" s="1" t="s">
        <v>12</v>
      </c>
      <c r="B56" s="23">
        <f>'Demand Input'!F40</f>
        <v>381.34</v>
      </c>
      <c r="C56" s="23">
        <f>'Demand Input'!D40</f>
        <v>333.37</v>
      </c>
      <c r="D56" s="5">
        <f t="shared" si="0"/>
        <v>1.1438941716411193</v>
      </c>
      <c r="E56" s="5"/>
      <c r="F56" s="5"/>
      <c r="I56" s="5"/>
      <c r="L56" s="5"/>
      <c r="O56" s="5"/>
      <c r="R56" s="5"/>
      <c r="U56" s="5"/>
    </row>
    <row r="57" spans="1:31" x14ac:dyDescent="0.3">
      <c r="A57" s="1" t="s">
        <v>13</v>
      </c>
      <c r="B57" s="23">
        <f>'Demand Input'!F41</f>
        <v>370.12</v>
      </c>
      <c r="C57" s="23">
        <f>'Demand Input'!D41</f>
        <v>323.49</v>
      </c>
      <c r="D57" s="5">
        <f t="shared" si="0"/>
        <v>1.1441466505919813</v>
      </c>
      <c r="E57" s="5"/>
      <c r="F57" s="5"/>
      <c r="I57" s="5"/>
      <c r="L57" s="5"/>
      <c r="O57" s="5"/>
      <c r="R57" s="5"/>
      <c r="U57" s="5"/>
    </row>
    <row r="58" spans="1:31" s="9" customFormat="1" x14ac:dyDescent="0.3">
      <c r="A58" s="1" t="s">
        <v>49</v>
      </c>
      <c r="B58" s="23">
        <f>'Demand Input'!F42</f>
        <v>320.39</v>
      </c>
      <c r="C58" s="23">
        <f>'Demand Input'!D42</f>
        <v>282.52999999999997</v>
      </c>
      <c r="D58" s="5">
        <f t="shared" si="0"/>
        <v>1.1340034686581957</v>
      </c>
      <c r="E58" s="5"/>
      <c r="F58" s="5"/>
      <c r="I58" s="5"/>
      <c r="L58" s="5"/>
      <c r="O58" s="5"/>
      <c r="R58" s="5"/>
      <c r="U58" s="5"/>
    </row>
    <row r="59" spans="1:31" s="9" customFormat="1" x14ac:dyDescent="0.3">
      <c r="A59" s="1" t="s">
        <v>50</v>
      </c>
      <c r="B59" s="23">
        <f>'Demand Input'!F43</f>
        <v>233.34</v>
      </c>
      <c r="C59" s="23">
        <f>'Demand Input'!D43</f>
        <v>208.72</v>
      </c>
      <c r="D59" s="5">
        <f t="shared" ref="D59:D61" si="1">B59/C59</f>
        <v>1.1179570716749714</v>
      </c>
      <c r="E59" s="5"/>
      <c r="F59" s="5"/>
      <c r="I59" s="5"/>
      <c r="L59" s="5"/>
      <c r="O59" s="5"/>
      <c r="R59" s="5"/>
      <c r="U59" s="5"/>
    </row>
    <row r="60" spans="1:31" s="9" customFormat="1" x14ac:dyDescent="0.3">
      <c r="A60" s="1" t="s">
        <v>51</v>
      </c>
      <c r="B60" s="23">
        <f>'Demand Input'!F44</f>
        <v>0</v>
      </c>
      <c r="C60" s="23">
        <f>'Demand Input'!D44</f>
        <v>0</v>
      </c>
      <c r="D60" s="5" t="e">
        <f t="shared" si="1"/>
        <v>#DIV/0!</v>
      </c>
      <c r="E60" s="5"/>
      <c r="F60" s="5"/>
      <c r="I60" s="5"/>
      <c r="L60" s="5"/>
      <c r="O60" s="5"/>
      <c r="R60" s="5"/>
      <c r="U60" s="5"/>
    </row>
    <row r="61" spans="1:31" s="9" customFormat="1" x14ac:dyDescent="0.3">
      <c r="A61" s="1" t="s">
        <v>52</v>
      </c>
      <c r="B61" s="23">
        <f>'Demand Input'!F45</f>
        <v>0</v>
      </c>
      <c r="C61" s="23">
        <f>'Demand Input'!D45</f>
        <v>0</v>
      </c>
      <c r="D61" s="5" t="e">
        <f t="shared" si="1"/>
        <v>#DIV/0!</v>
      </c>
      <c r="E61" s="5"/>
      <c r="F61" s="5"/>
      <c r="I61" s="5"/>
      <c r="L61" s="5"/>
      <c r="O61" s="5"/>
      <c r="R61" s="5"/>
      <c r="U61" s="5"/>
    </row>
    <row r="63" spans="1:31" x14ac:dyDescent="0.3">
      <c r="A63" s="7" t="str">
        <f>"Residential Demand ("&amp;'Demand Input'!$C$9&amp;")"</f>
        <v>Residential Demand (Kgal)</v>
      </c>
    </row>
    <row r="64" spans="1:31" x14ac:dyDescent="0.3">
      <c r="A64" s="2" t="s">
        <v>3</v>
      </c>
      <c r="B64" s="3" t="s">
        <v>0</v>
      </c>
      <c r="C64" s="3" t="s">
        <v>1</v>
      </c>
    </row>
    <row r="65" spans="1:21" x14ac:dyDescent="0.3">
      <c r="A65" s="1" t="s">
        <v>8</v>
      </c>
      <c r="B65" s="6">
        <f>'Demand Input'!F18</f>
        <v>104204.22408000001</v>
      </c>
      <c r="C65" s="6">
        <f>'Demand Input'!B18</f>
        <v>111009.96192</v>
      </c>
      <c r="D65" s="4">
        <f>B65/C65</f>
        <v>0.93869254864798002</v>
      </c>
      <c r="E65" s="4"/>
      <c r="F65" s="4"/>
      <c r="I65" s="4"/>
      <c r="L65" s="4"/>
      <c r="O65" s="4"/>
      <c r="R65" s="4"/>
      <c r="U65" s="4"/>
    </row>
    <row r="66" spans="1:21" x14ac:dyDescent="0.3">
      <c r="A66" s="1" t="s">
        <v>9</v>
      </c>
      <c r="B66" s="6">
        <f>'Demand Input'!F19</f>
        <v>116687.49136</v>
      </c>
      <c r="C66" s="6">
        <f>'Demand Input'!B19</f>
        <v>123525.13140000001</v>
      </c>
      <c r="D66" s="4">
        <f t="shared" ref="D66:D72" si="2">B66/C66</f>
        <v>0.94464575781054372</v>
      </c>
      <c r="E66" s="4"/>
      <c r="F66" s="4"/>
      <c r="I66" s="4"/>
      <c r="L66" s="4"/>
      <c r="O66" s="4"/>
      <c r="R66" s="4"/>
      <c r="U66" s="4"/>
    </row>
    <row r="67" spans="1:21" x14ac:dyDescent="0.3">
      <c r="A67" s="1" t="s">
        <v>10</v>
      </c>
      <c r="B67" s="6">
        <f>'Demand Input'!F20</f>
        <v>109598.96464000001</v>
      </c>
      <c r="C67" s="6">
        <f>'Demand Input'!B20</f>
        <v>113258.78652000001</v>
      </c>
      <c r="D67" s="4">
        <f t="shared" si="2"/>
        <v>0.9676861990804243</v>
      </c>
      <c r="E67" s="4"/>
      <c r="F67" s="4"/>
      <c r="I67" s="4"/>
      <c r="L67" s="4"/>
      <c r="O67" s="4"/>
      <c r="R67" s="4"/>
      <c r="U67" s="4"/>
    </row>
    <row r="68" spans="1:21" x14ac:dyDescent="0.3">
      <c r="A68" s="1" t="s">
        <v>2</v>
      </c>
      <c r="B68" s="6">
        <f>'Demand Input'!F21</f>
        <v>109656.01460000001</v>
      </c>
      <c r="C68" s="6">
        <f>'Demand Input'!B21</f>
        <v>107128.05136</v>
      </c>
      <c r="D68" s="4">
        <f t="shared" si="2"/>
        <v>1.0235975844599738</v>
      </c>
      <c r="E68" s="4"/>
      <c r="F68" s="4"/>
      <c r="I68" s="4"/>
      <c r="L68" s="4"/>
      <c r="O68" s="4"/>
      <c r="R68" s="4"/>
      <c r="U68" s="4"/>
    </row>
    <row r="69" spans="1:21" x14ac:dyDescent="0.3">
      <c r="A69" s="1" t="s">
        <v>11</v>
      </c>
      <c r="B69" s="6">
        <f>'Demand Input'!F22</f>
        <v>154696.23620000001</v>
      </c>
      <c r="C69" s="6">
        <f>'Demand Input'!B22</f>
        <v>144930.45292000001</v>
      </c>
      <c r="D69" s="4">
        <f t="shared" si="2"/>
        <v>1.0673825485482378</v>
      </c>
      <c r="E69" s="4"/>
      <c r="F69" s="4"/>
      <c r="I69" s="4"/>
      <c r="L69" s="4"/>
      <c r="O69" s="4"/>
      <c r="R69" s="4"/>
      <c r="U69" s="4"/>
    </row>
    <row r="70" spans="1:21" x14ac:dyDescent="0.3">
      <c r="A70" s="1" t="s">
        <v>12</v>
      </c>
      <c r="B70" s="6">
        <f>'Demand Input'!F23</f>
        <v>159889.35336000001</v>
      </c>
      <c r="C70" s="6">
        <f>'Demand Input'!B23</f>
        <v>151028.01428</v>
      </c>
      <c r="D70" s="4">
        <f t="shared" si="2"/>
        <v>1.0586734793690091</v>
      </c>
      <c r="E70" s="4"/>
      <c r="F70" s="4"/>
      <c r="I70" s="4"/>
      <c r="L70" s="4"/>
      <c r="O70" s="4"/>
      <c r="R70" s="4"/>
      <c r="U70" s="4"/>
    </row>
    <row r="71" spans="1:21" x14ac:dyDescent="0.3">
      <c r="A71" s="1" t="s">
        <v>13</v>
      </c>
      <c r="B71" s="6">
        <f>'Demand Input'!F24</f>
        <v>160013.98512</v>
      </c>
      <c r="C71" s="6">
        <f>'Demand Input'!B24</f>
        <v>143816.33684</v>
      </c>
      <c r="D71" s="4">
        <f t="shared" si="2"/>
        <v>1.1126273178409514</v>
      </c>
      <c r="E71" s="4"/>
      <c r="F71" s="4"/>
      <c r="I71" s="4"/>
      <c r="L71" s="4"/>
      <c r="O71" s="4"/>
      <c r="R71" s="4"/>
      <c r="U71" s="4"/>
    </row>
    <row r="72" spans="1:21" x14ac:dyDescent="0.3">
      <c r="A72" s="1" t="s">
        <v>49</v>
      </c>
      <c r="B72" s="6">
        <f>'Demand Input'!F25</f>
        <v>337995.64084000001</v>
      </c>
      <c r="C72" s="6">
        <f>'Demand Input'!B25</f>
        <v>260607.45612000002</v>
      </c>
      <c r="D72" s="4">
        <f t="shared" si="2"/>
        <v>1.2969530721498836</v>
      </c>
    </row>
    <row r="73" spans="1:21" s="9" customFormat="1" x14ac:dyDescent="0.3">
      <c r="A73" s="1" t="s">
        <v>50</v>
      </c>
      <c r="B73" s="6">
        <f>'Demand Input'!F26</f>
        <v>243049.08364000003</v>
      </c>
      <c r="C73" s="6">
        <f>'Demand Input'!B26</f>
        <v>173601.36772000001</v>
      </c>
      <c r="D73" s="4">
        <f t="shared" ref="D73:D75" si="3">B73/C73</f>
        <v>1.4000412947898635</v>
      </c>
      <c r="E73" s="5"/>
      <c r="F73" s="5"/>
      <c r="I73" s="5"/>
      <c r="L73" s="5"/>
      <c r="O73" s="5"/>
      <c r="R73" s="5"/>
      <c r="U73" s="5"/>
    </row>
    <row r="74" spans="1:21" s="9" customFormat="1" x14ac:dyDescent="0.3">
      <c r="A74" s="1" t="s">
        <v>51</v>
      </c>
      <c r="B74" s="6">
        <f>'Demand Input'!F27</f>
        <v>0</v>
      </c>
      <c r="C74" s="6">
        <f>'Demand Input'!B27</f>
        <v>0</v>
      </c>
      <c r="D74" s="4" t="e">
        <f t="shared" si="3"/>
        <v>#DIV/0!</v>
      </c>
      <c r="E74" s="5"/>
      <c r="F74" s="5"/>
      <c r="I74" s="5"/>
      <c r="L74" s="5"/>
      <c r="O74" s="5"/>
      <c r="R74" s="5"/>
      <c r="U74" s="5"/>
    </row>
    <row r="75" spans="1:21" s="9" customFormat="1" x14ac:dyDescent="0.3">
      <c r="A75" s="1" t="s">
        <v>52</v>
      </c>
      <c r="B75" s="6">
        <f>'Demand Input'!F28</f>
        <v>0</v>
      </c>
      <c r="C75" s="6">
        <f>'Demand Input'!B28</f>
        <v>0</v>
      </c>
      <c r="D75" s="4" t="e">
        <f t="shared" si="3"/>
        <v>#DIV/0!</v>
      </c>
      <c r="E75" s="5"/>
      <c r="F75" s="5"/>
      <c r="I75" s="5"/>
      <c r="L75" s="5"/>
      <c r="O75" s="5"/>
      <c r="R75" s="5"/>
      <c r="U75" s="5"/>
    </row>
    <row r="77" spans="1:21" x14ac:dyDescent="0.3">
      <c r="A77" s="7" t="str">
        <f>"Non-Residential Demand ("&amp;'Demand Input'!$C$9&amp;")"</f>
        <v>Non-Residential Demand (Kgal)</v>
      </c>
    </row>
    <row r="78" spans="1:21" x14ac:dyDescent="0.3">
      <c r="A78" s="2" t="s">
        <v>3</v>
      </c>
      <c r="B78" s="3" t="s">
        <v>0</v>
      </c>
      <c r="C78" s="3" t="s">
        <v>1</v>
      </c>
    </row>
    <row r="79" spans="1:21" x14ac:dyDescent="0.3">
      <c r="A79" s="1" t="s">
        <v>8</v>
      </c>
      <c r="B79" s="6">
        <f>'Demand Input'!G18</f>
        <v>27184.287240000001</v>
      </c>
      <c r="C79" s="6">
        <f>'Demand Input'!C18</f>
        <v>24891.70464</v>
      </c>
      <c r="D79" s="4">
        <f>B79/C79</f>
        <v>1.092102273956598</v>
      </c>
      <c r="E79" s="4"/>
      <c r="F79" s="4"/>
      <c r="I79" s="4"/>
      <c r="L79" s="4"/>
      <c r="O79" s="4"/>
      <c r="R79" s="4"/>
      <c r="U79" s="4"/>
    </row>
    <row r="80" spans="1:21" x14ac:dyDescent="0.3">
      <c r="A80" s="1" t="s">
        <v>9</v>
      </c>
      <c r="B80" s="6">
        <f>'Demand Input'!G19</f>
        <v>30591.783840000004</v>
      </c>
      <c r="C80" s="6">
        <f>'Demand Input'!C19</f>
        <v>42416.79552</v>
      </c>
      <c r="D80" s="4">
        <f t="shared" ref="D80:D86" si="4">B80/C80</f>
        <v>0.72121864617461806</v>
      </c>
      <c r="E80" s="4"/>
      <c r="F80" s="4"/>
      <c r="I80" s="4"/>
      <c r="L80" s="4"/>
      <c r="O80" s="4"/>
      <c r="R80" s="4"/>
      <c r="U80" s="4"/>
    </row>
    <row r="81" spans="1:21" x14ac:dyDescent="0.3">
      <c r="A81" s="1" t="s">
        <v>10</v>
      </c>
      <c r="B81" s="6">
        <f>'Demand Input'!G20</f>
        <v>30008.585640000001</v>
      </c>
      <c r="C81" s="6">
        <f>'Demand Input'!C20</f>
        <v>33427.880640000003</v>
      </c>
      <c r="D81" s="4">
        <f t="shared" si="4"/>
        <v>0.89771128367891639</v>
      </c>
      <c r="E81" s="4"/>
      <c r="F81" s="4"/>
      <c r="I81" s="4"/>
      <c r="L81" s="4"/>
      <c r="O81" s="4"/>
      <c r="R81" s="4"/>
      <c r="U81" s="4"/>
    </row>
    <row r="82" spans="1:21" x14ac:dyDescent="0.3">
      <c r="A82" s="1" t="s">
        <v>2</v>
      </c>
      <c r="B82" s="6">
        <f>'Demand Input'!G21</f>
        <v>21459.484200000003</v>
      </c>
      <c r="C82" s="6">
        <f>'Demand Input'!C21</f>
        <v>26254.44844</v>
      </c>
      <c r="D82" s="4">
        <f t="shared" si="4"/>
        <v>0.81736564563685055</v>
      </c>
      <c r="E82" s="4"/>
      <c r="F82" s="4"/>
      <c r="I82" s="4"/>
      <c r="L82" s="4"/>
      <c r="O82" s="4"/>
      <c r="R82" s="4"/>
      <c r="U82" s="4"/>
    </row>
    <row r="83" spans="1:21" x14ac:dyDescent="0.3">
      <c r="A83" s="1" t="s">
        <v>11</v>
      </c>
      <c r="B83" s="6">
        <f>'Demand Input'!G22</f>
        <v>47687.401080000003</v>
      </c>
      <c r="C83" s="6">
        <f>'Demand Input'!C22</f>
        <v>33248.873200000002</v>
      </c>
      <c r="D83" s="4">
        <f t="shared" si="4"/>
        <v>1.4342561563860756</v>
      </c>
      <c r="E83" s="4"/>
      <c r="F83" s="4"/>
      <c r="I83" s="4"/>
      <c r="L83" s="4"/>
      <c r="O83" s="4"/>
      <c r="R83" s="4"/>
      <c r="U83" s="4"/>
    </row>
    <row r="84" spans="1:21" x14ac:dyDescent="0.3">
      <c r="A84" s="1" t="s">
        <v>12</v>
      </c>
      <c r="B84" s="6">
        <f>'Demand Input'!G23</f>
        <v>33702.69584</v>
      </c>
      <c r="C84" s="6">
        <f>'Demand Input'!C23</f>
        <v>42679.937520000007</v>
      </c>
      <c r="D84" s="4">
        <f t="shared" si="4"/>
        <v>0.78966132094750063</v>
      </c>
      <c r="E84" s="4"/>
      <c r="F84" s="4"/>
      <c r="I84" s="4"/>
      <c r="L84" s="4"/>
      <c r="O84" s="4"/>
      <c r="R84" s="4"/>
      <c r="U84" s="4"/>
    </row>
    <row r="85" spans="1:21" x14ac:dyDescent="0.3">
      <c r="A85" s="1" t="s">
        <v>13</v>
      </c>
      <c r="B85" s="6">
        <f>'Demand Input'!G24</f>
        <v>30630.764560000003</v>
      </c>
      <c r="C85" s="6">
        <f>'Demand Input'!C24</f>
        <v>34036.498319999999</v>
      </c>
      <c r="D85" s="4">
        <f t="shared" si="4"/>
        <v>0.89993877372518161</v>
      </c>
      <c r="E85" s="4"/>
      <c r="F85" s="4"/>
      <c r="I85" s="4"/>
      <c r="L85" s="4"/>
      <c r="O85" s="4"/>
      <c r="R85" s="4"/>
      <c r="U85" s="4"/>
    </row>
    <row r="86" spans="1:21" x14ac:dyDescent="0.3">
      <c r="A86" s="1" t="s">
        <v>49</v>
      </c>
      <c r="B86" s="6">
        <f>'Demand Input'!G25</f>
        <v>87939.966400000005</v>
      </c>
      <c r="C86" s="6">
        <f>'Demand Input'!C25</f>
        <v>86367.775120000006</v>
      </c>
      <c r="D86" s="4">
        <f t="shared" si="4"/>
        <v>1.0182034477305406</v>
      </c>
    </row>
    <row r="87" spans="1:21" s="9" customFormat="1" x14ac:dyDescent="0.3">
      <c r="A87" s="1" t="s">
        <v>50</v>
      </c>
      <c r="B87" s="6">
        <f>'Demand Input'!G26</f>
        <v>51017.646679999998</v>
      </c>
      <c r="C87" s="6">
        <f>'Demand Input'!C26</f>
        <v>49561.754440000004</v>
      </c>
      <c r="D87" s="4">
        <f t="shared" ref="D87:D89" si="5">B87/C87</f>
        <v>1.0293753168436059</v>
      </c>
      <c r="E87" s="5"/>
      <c r="F87" s="5"/>
      <c r="I87" s="5"/>
      <c r="L87" s="5"/>
      <c r="O87" s="5"/>
      <c r="R87" s="5"/>
      <c r="U87" s="5"/>
    </row>
    <row r="88" spans="1:21" s="9" customFormat="1" x14ac:dyDescent="0.3">
      <c r="A88" s="1" t="s">
        <v>51</v>
      </c>
      <c r="B88" s="6">
        <f>'Demand Input'!G27</f>
        <v>0</v>
      </c>
      <c r="C88" s="6">
        <f>'Demand Input'!C27</f>
        <v>0</v>
      </c>
      <c r="D88" s="4" t="e">
        <f t="shared" si="5"/>
        <v>#DIV/0!</v>
      </c>
      <c r="E88" s="5"/>
      <c r="F88" s="5"/>
      <c r="I88" s="5"/>
      <c r="L88" s="5"/>
      <c r="O88" s="5"/>
      <c r="R88" s="5"/>
      <c r="U88" s="5"/>
    </row>
    <row r="89" spans="1:21" s="9" customFormat="1" x14ac:dyDescent="0.3">
      <c r="A89" s="1" t="s">
        <v>52</v>
      </c>
      <c r="B89" s="6">
        <f>'Demand Input'!G28</f>
        <v>0</v>
      </c>
      <c r="C89" s="6">
        <f>'Demand Input'!C28</f>
        <v>0</v>
      </c>
      <c r="D89" s="4" t="e">
        <f t="shared" si="5"/>
        <v>#DIV/0!</v>
      </c>
      <c r="E89" s="5"/>
      <c r="F89" s="5"/>
      <c r="I89" s="5"/>
      <c r="L89" s="5"/>
      <c r="O89" s="5"/>
      <c r="R89" s="5"/>
      <c r="U89" s="5"/>
    </row>
    <row r="91" spans="1:21" x14ac:dyDescent="0.3">
      <c r="A91" s="7" t="str">
        <f>"Wholesale Demand ("&amp;'Demand Input'!$C$9&amp;")"</f>
        <v>Wholesale Demand (Kgal)</v>
      </c>
    </row>
    <row r="92" spans="1:21" x14ac:dyDescent="0.3">
      <c r="A92" s="2" t="s">
        <v>3</v>
      </c>
      <c r="B92" s="3" t="s">
        <v>0</v>
      </c>
      <c r="C92" s="3" t="s">
        <v>1</v>
      </c>
    </row>
    <row r="93" spans="1:21" x14ac:dyDescent="0.3">
      <c r="A93" s="1" t="s">
        <v>8</v>
      </c>
      <c r="B93" s="6">
        <f>'Demand Input'!H18</f>
        <v>0</v>
      </c>
      <c r="C93" s="6">
        <f>'Demand Input'!D18</f>
        <v>0</v>
      </c>
      <c r="D93" s="4" t="e">
        <f>B93/C93</f>
        <v>#DIV/0!</v>
      </c>
      <c r="E93" s="4"/>
      <c r="F93" s="4"/>
      <c r="I93" s="4"/>
      <c r="L93" s="4"/>
      <c r="O93" s="4"/>
      <c r="R93" s="4"/>
      <c r="U93" s="4"/>
    </row>
    <row r="94" spans="1:21" x14ac:dyDescent="0.3">
      <c r="A94" s="1" t="s">
        <v>9</v>
      </c>
      <c r="B94" s="6">
        <f>'Demand Input'!H19</f>
        <v>21965.02</v>
      </c>
      <c r="C94" s="6">
        <f>'Demand Input'!D19</f>
        <v>14013.78</v>
      </c>
      <c r="D94" s="4">
        <f t="shared" ref="D94:D100" si="6">B94/C94</f>
        <v>1.5673872431278355</v>
      </c>
      <c r="E94" s="4"/>
      <c r="F94" s="4"/>
      <c r="I94" s="4"/>
      <c r="L94" s="4"/>
      <c r="O94" s="4"/>
      <c r="R94" s="4"/>
      <c r="U94" s="4"/>
    </row>
    <row r="95" spans="1:21" x14ac:dyDescent="0.3">
      <c r="A95" s="1" t="s">
        <v>10</v>
      </c>
      <c r="B95" s="6">
        <f>'Demand Input'!H20</f>
        <v>0</v>
      </c>
      <c r="C95" s="6">
        <f>'Demand Input'!D20</f>
        <v>0</v>
      </c>
      <c r="D95" s="4" t="e">
        <f t="shared" si="6"/>
        <v>#DIV/0!</v>
      </c>
      <c r="E95" s="4"/>
      <c r="F95" s="4"/>
      <c r="I95" s="4"/>
      <c r="L95" s="4"/>
      <c r="O95" s="4"/>
      <c r="R95" s="4"/>
      <c r="U95" s="4"/>
    </row>
    <row r="96" spans="1:21" x14ac:dyDescent="0.3">
      <c r="A96" s="1" t="s">
        <v>2</v>
      </c>
      <c r="B96" s="6">
        <f>'Demand Input'!H21</f>
        <v>0</v>
      </c>
      <c r="C96" s="6">
        <f>'Demand Input'!D21</f>
        <v>0</v>
      </c>
      <c r="D96" s="4" t="e">
        <f t="shared" si="6"/>
        <v>#DIV/0!</v>
      </c>
      <c r="E96" s="4"/>
      <c r="F96" s="4"/>
      <c r="I96" s="4"/>
      <c r="L96" s="4"/>
      <c r="O96" s="4"/>
      <c r="R96" s="4"/>
      <c r="U96" s="4"/>
    </row>
    <row r="97" spans="1:21" x14ac:dyDescent="0.3">
      <c r="A97" s="1" t="s">
        <v>11</v>
      </c>
      <c r="B97" s="6">
        <f>'Demand Input'!H22</f>
        <v>27331</v>
      </c>
      <c r="C97" s="6">
        <f>'Demand Input'!D22</f>
        <v>30443.599999999999</v>
      </c>
      <c r="D97" s="4">
        <f t="shared" si="6"/>
        <v>0.89775847797238173</v>
      </c>
      <c r="E97" s="4"/>
      <c r="F97" s="4"/>
      <c r="I97" s="4"/>
      <c r="L97" s="4"/>
      <c r="O97" s="4"/>
      <c r="R97" s="4"/>
      <c r="U97" s="4"/>
    </row>
    <row r="98" spans="1:21" x14ac:dyDescent="0.3">
      <c r="A98" s="1" t="s">
        <v>12</v>
      </c>
      <c r="B98" s="6">
        <f>'Demand Input'!H23</f>
        <v>0</v>
      </c>
      <c r="C98" s="6">
        <f>'Demand Input'!D23</f>
        <v>0</v>
      </c>
      <c r="D98" s="4" t="e">
        <f t="shared" si="6"/>
        <v>#DIV/0!</v>
      </c>
      <c r="E98" s="4"/>
      <c r="F98" s="4"/>
      <c r="I98" s="4"/>
      <c r="L98" s="4"/>
      <c r="O98" s="4"/>
      <c r="R98" s="4"/>
      <c r="U98" s="4"/>
    </row>
    <row r="99" spans="1:21" x14ac:dyDescent="0.3">
      <c r="A99" s="1" t="s">
        <v>13</v>
      </c>
      <c r="B99" s="6">
        <f>'Demand Input'!H24</f>
        <v>0</v>
      </c>
      <c r="C99" s="6">
        <f>'Demand Input'!D24</f>
        <v>0</v>
      </c>
      <c r="D99" s="4" t="e">
        <f t="shared" si="6"/>
        <v>#DIV/0!</v>
      </c>
      <c r="E99" s="4"/>
      <c r="F99" s="4"/>
      <c r="I99" s="4"/>
      <c r="L99" s="4"/>
      <c r="O99" s="4"/>
      <c r="R99" s="4"/>
      <c r="U99" s="4"/>
    </row>
    <row r="100" spans="1:21" x14ac:dyDescent="0.3">
      <c r="A100" s="1" t="s">
        <v>49</v>
      </c>
      <c r="B100" s="6">
        <f>'Demand Input'!H25</f>
        <v>50400.24</v>
      </c>
      <c r="C100" s="6">
        <f>'Demand Input'!D25</f>
        <v>38376.14</v>
      </c>
      <c r="D100" s="4">
        <f t="shared" si="6"/>
        <v>1.3133222882759965</v>
      </c>
    </row>
    <row r="101" spans="1:21" s="9" customFormat="1" x14ac:dyDescent="0.3">
      <c r="A101" s="1" t="s">
        <v>50</v>
      </c>
      <c r="B101" s="6">
        <f>'Demand Input'!H26</f>
        <v>0</v>
      </c>
      <c r="C101" s="6">
        <f>'Demand Input'!D26</f>
        <v>0</v>
      </c>
      <c r="D101" s="4" t="e">
        <f t="shared" ref="D101:D103" si="7">B101/C101</f>
        <v>#DIV/0!</v>
      </c>
      <c r="E101" s="5"/>
      <c r="F101" s="5"/>
      <c r="I101" s="5"/>
      <c r="L101" s="5"/>
      <c r="O101" s="5"/>
      <c r="R101" s="5"/>
      <c r="U101" s="5"/>
    </row>
    <row r="102" spans="1:21" s="9" customFormat="1" x14ac:dyDescent="0.3">
      <c r="A102" s="1" t="s">
        <v>51</v>
      </c>
      <c r="B102" s="6">
        <f>'Demand Input'!H27</f>
        <v>0</v>
      </c>
      <c r="C102" s="6">
        <f>'Demand Input'!D27</f>
        <v>0</v>
      </c>
      <c r="D102" s="4" t="e">
        <f t="shared" si="7"/>
        <v>#DIV/0!</v>
      </c>
      <c r="E102" s="5"/>
      <c r="F102" s="5"/>
      <c r="I102" s="5"/>
      <c r="L102" s="5"/>
      <c r="O102" s="5"/>
      <c r="R102" s="5"/>
      <c r="U102" s="5"/>
    </row>
    <row r="103" spans="1:21" s="9" customFormat="1" x14ac:dyDescent="0.3">
      <c r="A103" s="1" t="s">
        <v>52</v>
      </c>
      <c r="B103" s="6">
        <f>'Demand Input'!H28</f>
        <v>0</v>
      </c>
      <c r="C103" s="6">
        <f>'Demand Input'!D28</f>
        <v>0</v>
      </c>
      <c r="D103" s="4" t="e">
        <f t="shared" si="7"/>
        <v>#DIV/0!</v>
      </c>
      <c r="E103" s="5"/>
      <c r="F103" s="5"/>
      <c r="I103" s="5"/>
      <c r="L103" s="5"/>
      <c r="O103" s="5"/>
      <c r="R103" s="5"/>
      <c r="U103" s="5"/>
    </row>
  </sheetData>
  <mergeCells count="25">
    <mergeCell ref="AH33:AI33"/>
    <mergeCell ref="Y28:Z28"/>
    <mergeCell ref="Y33:Z33"/>
    <mergeCell ref="A47:E47"/>
    <mergeCell ref="V33:W33"/>
    <mergeCell ref="D33:E33"/>
    <mergeCell ref="G33:H33"/>
    <mergeCell ref="J33:K33"/>
    <mergeCell ref="M33:N33"/>
    <mergeCell ref="B2:AI2"/>
    <mergeCell ref="B1:AI1"/>
    <mergeCell ref="AB28:AC28"/>
    <mergeCell ref="AB33:AC33"/>
    <mergeCell ref="P33:Q33"/>
    <mergeCell ref="S33:T33"/>
    <mergeCell ref="D28:E28"/>
    <mergeCell ref="G28:H28"/>
    <mergeCell ref="J28:K28"/>
    <mergeCell ref="M28:N28"/>
    <mergeCell ref="P28:Q28"/>
    <mergeCell ref="AE28:AF28"/>
    <mergeCell ref="AE33:AF33"/>
    <mergeCell ref="S28:T28"/>
    <mergeCell ref="V28:W28"/>
    <mergeCell ref="AH28:AI28"/>
  </mergeCells>
  <phoneticPr fontId="19" type="noConversion"/>
  <pageMargins left="0.25" right="0.25" top="0.75" bottom="0.75" header="0.3" footer="0.3"/>
  <pageSetup scale="5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295"/>
  <sheetViews>
    <sheetView showGridLines="0" tabSelected="1" view="pageBreakPreview" zoomScale="60" zoomScaleNormal="100" workbookViewId="0">
      <selection activeCell="N45" sqref="N45"/>
    </sheetView>
  </sheetViews>
  <sheetFormatPr defaultColWidth="9.109375" defaultRowHeight="14.4" x14ac:dyDescent="0.3"/>
  <cols>
    <col min="1" max="1" width="11.88671875" style="8" customWidth="1"/>
    <col min="2" max="2" width="26.88671875" style="8" customWidth="1"/>
    <col min="3" max="4" width="18.33203125" style="8" customWidth="1"/>
    <col min="5" max="5" width="1.88671875" style="8" customWidth="1"/>
    <col min="6" max="8" width="18.33203125" style="8" customWidth="1"/>
    <col min="9" max="16" width="9.109375" style="8"/>
    <col min="17" max="17" width="11.88671875" style="8" bestFit="1" customWidth="1"/>
    <col min="18" max="18" width="14.33203125" style="8" bestFit="1" customWidth="1"/>
    <col min="19" max="16384" width="9.109375" style="8"/>
  </cols>
  <sheetData>
    <row r="1" spans="1:71" ht="15" customHeight="1" x14ac:dyDescent="0.3">
      <c r="A1" s="59" t="s">
        <v>21</v>
      </c>
      <c r="B1" s="60"/>
      <c r="C1" s="60"/>
      <c r="D1" s="60"/>
      <c r="E1" s="60"/>
      <c r="F1" s="60"/>
      <c r="G1" s="60"/>
      <c r="H1" s="60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1" ht="15" customHeight="1" x14ac:dyDescent="0.3">
      <c r="A2" s="60"/>
      <c r="B2" s="60"/>
      <c r="C2" s="60"/>
      <c r="D2" s="60"/>
      <c r="E2" s="60"/>
      <c r="F2" s="60"/>
      <c r="G2" s="60"/>
      <c r="H2" s="60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1" ht="15" customHeight="1" x14ac:dyDescent="0.3">
      <c r="A3" s="60"/>
      <c r="B3" s="60"/>
      <c r="C3" s="60"/>
      <c r="D3" s="60"/>
      <c r="E3" s="60"/>
      <c r="F3" s="60"/>
      <c r="G3" s="60"/>
      <c r="H3" s="60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ht="15" customHeight="1" x14ac:dyDescent="0.3">
      <c r="A4" s="60"/>
      <c r="B4" s="60"/>
      <c r="C4" s="60"/>
      <c r="D4" s="60"/>
      <c r="E4" s="60"/>
      <c r="F4" s="60"/>
      <c r="G4" s="60"/>
      <c r="H4" s="60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ht="15" customHeight="1" x14ac:dyDescent="0.3">
      <c r="A5" s="64" t="str">
        <f>C8</f>
        <v>Kent County Water Authority</v>
      </c>
      <c r="B5" s="64"/>
      <c r="C5" s="64"/>
      <c r="D5" s="64"/>
      <c r="E5" s="64"/>
      <c r="F5" s="64"/>
      <c r="G5" s="64"/>
      <c r="H5" s="64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ht="15" customHeight="1" x14ac:dyDescent="0.3">
      <c r="A6" s="64"/>
      <c r="B6" s="64"/>
      <c r="C6" s="64"/>
      <c r="D6" s="64"/>
      <c r="E6" s="64"/>
      <c r="F6" s="64"/>
      <c r="G6" s="64"/>
      <c r="H6" s="64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ht="25.8" x14ac:dyDescent="0.5">
      <c r="A7" s="65" t="s">
        <v>55</v>
      </c>
      <c r="B7" s="65"/>
      <c r="C7" s="65"/>
      <c r="D7" s="65"/>
      <c r="E7" s="65"/>
      <c r="F7" s="65"/>
      <c r="G7" s="65"/>
      <c r="H7" s="65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1" x14ac:dyDescent="0.3">
      <c r="A8" s="33"/>
      <c r="B8" s="34" t="s">
        <v>19</v>
      </c>
      <c r="C8" s="62" t="s">
        <v>47</v>
      </c>
      <c r="D8" s="62"/>
      <c r="E8" s="33"/>
      <c r="F8" s="33"/>
      <c r="G8" s="33"/>
      <c r="H8" s="33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x14ac:dyDescent="0.3">
      <c r="A9" s="33"/>
      <c r="B9" s="34" t="s">
        <v>15</v>
      </c>
      <c r="C9" s="62" t="s">
        <v>44</v>
      </c>
      <c r="D9" s="62"/>
      <c r="E9" s="33"/>
      <c r="F9" s="33"/>
      <c r="G9" s="33"/>
      <c r="H9" s="33"/>
      <c r="I9" s="31"/>
      <c r="J9" s="31"/>
      <c r="K9" s="31"/>
      <c r="L9" s="31"/>
      <c r="M9" s="32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x14ac:dyDescent="0.3">
      <c r="A10" s="33"/>
      <c r="B10" s="34" t="s">
        <v>48</v>
      </c>
      <c r="C10" s="62" t="s">
        <v>43</v>
      </c>
      <c r="D10" s="62"/>
      <c r="E10" s="33"/>
      <c r="F10" s="33"/>
      <c r="G10" s="33"/>
      <c r="H10" s="33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ht="6.75" customHeight="1" x14ac:dyDescent="0.3">
      <c r="A11" s="33"/>
      <c r="B11" s="33"/>
      <c r="C11" s="33"/>
      <c r="D11" s="33"/>
      <c r="E11" s="33"/>
      <c r="F11" s="33"/>
      <c r="G11" s="33"/>
      <c r="H11" s="33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ht="2.25" customHeight="1" x14ac:dyDescent="0.3">
      <c r="A12" s="35"/>
      <c r="B12" s="58"/>
      <c r="C12" s="58"/>
      <c r="D12" s="58"/>
      <c r="E12" s="58"/>
      <c r="F12" s="58"/>
      <c r="G12" s="58"/>
      <c r="H12" s="58"/>
      <c r="I12" s="29"/>
      <c r="J12" s="29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ht="6.75" customHeight="1" x14ac:dyDescent="0.3">
      <c r="A13" s="33"/>
      <c r="B13" s="33"/>
      <c r="C13" s="33"/>
      <c r="D13" s="33"/>
      <c r="E13" s="33"/>
      <c r="F13" s="33"/>
      <c r="G13" s="33"/>
      <c r="H13" s="33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ht="23.4" x14ac:dyDescent="0.45">
      <c r="A14" s="36"/>
      <c r="B14" s="61" t="str">
        <f>"Input Customer Demand ("&amp;C9&amp;")"</f>
        <v>Input Customer Demand (Kgal)</v>
      </c>
      <c r="C14" s="61"/>
      <c r="D14" s="61"/>
      <c r="E14" s="61"/>
      <c r="F14" s="61"/>
      <c r="G14" s="61"/>
      <c r="H14" s="6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x14ac:dyDescent="0.3">
      <c r="A15" s="36"/>
      <c r="B15" s="56" t="s">
        <v>16</v>
      </c>
      <c r="C15" s="56"/>
      <c r="D15" s="56"/>
      <c r="E15" s="56"/>
      <c r="F15" s="56"/>
      <c r="G15" s="56"/>
      <c r="H15" s="56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x14ac:dyDescent="0.3">
      <c r="A16" s="35"/>
      <c r="B16" s="63" t="s">
        <v>18</v>
      </c>
      <c r="C16" s="63"/>
      <c r="D16" s="63"/>
      <c r="E16" s="35"/>
      <c r="F16" s="63" t="s">
        <v>17</v>
      </c>
      <c r="G16" s="63"/>
      <c r="H16" s="63"/>
      <c r="I16" s="29"/>
      <c r="J16" s="29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x14ac:dyDescent="0.3">
      <c r="A17" s="37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29"/>
      <c r="J17" s="29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x14ac:dyDescent="0.3">
      <c r="A18" s="41" t="s">
        <v>8</v>
      </c>
      <c r="B18" s="21">
        <f>(14840904*7.48)/1000</f>
        <v>111009.96192</v>
      </c>
      <c r="C18" s="21">
        <f>(3327768*7.48)/1000</f>
        <v>24891.70464</v>
      </c>
      <c r="D18" s="21"/>
      <c r="E18" s="22"/>
      <c r="F18" s="21">
        <f>(13931046*7.48)/1000</f>
        <v>104204.22408000001</v>
      </c>
      <c r="G18" s="21">
        <f>(3634263*7.48)/1000</f>
        <v>27184.287240000001</v>
      </c>
      <c r="H18" s="21"/>
      <c r="I18" s="29"/>
      <c r="J18" s="29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x14ac:dyDescent="0.3">
      <c r="A19" s="41" t="s">
        <v>9</v>
      </c>
      <c r="B19" s="21">
        <f>(16514055*7.48)/1000</f>
        <v>123525.13140000001</v>
      </c>
      <c r="C19" s="21">
        <f>(7544224*7.48)/1000-14014</f>
        <v>42416.79552</v>
      </c>
      <c r="D19" s="21">
        <f>14013780/1000</f>
        <v>14013.78</v>
      </c>
      <c r="E19" s="22"/>
      <c r="F19" s="21">
        <f>(15599932*7.48)/1000</f>
        <v>116687.49136</v>
      </c>
      <c r="G19" s="21">
        <f>(7026308*7.48)/1000-21965</f>
        <v>30591.783840000004</v>
      </c>
      <c r="H19" s="21">
        <f>21965020/1000</f>
        <v>21965.02</v>
      </c>
      <c r="I19" s="29"/>
      <c r="J19" s="29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x14ac:dyDescent="0.3">
      <c r="A20" s="41" t="s">
        <v>10</v>
      </c>
      <c r="B20" s="21">
        <f>(15141549*7.48)/1000</f>
        <v>113258.78652000001</v>
      </c>
      <c r="C20" s="21">
        <f>(4468968*7.48)/1000</f>
        <v>33427.880640000003</v>
      </c>
      <c r="D20" s="21"/>
      <c r="E20" s="22"/>
      <c r="F20" s="21">
        <f>(14652268*7.48)/1000</f>
        <v>109598.96464000001</v>
      </c>
      <c r="G20" s="21">
        <f>(4011843*7.48)/1000</f>
        <v>30008.585640000001</v>
      </c>
      <c r="H20" s="21"/>
      <c r="I20" s="29"/>
      <c r="J20" s="29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x14ac:dyDescent="0.3">
      <c r="A21" s="41" t="s">
        <v>2</v>
      </c>
      <c r="B21" s="21">
        <f>(14321932*7.48)/1000</f>
        <v>107128.05136</v>
      </c>
      <c r="C21" s="21">
        <f>(3509953*7.48)/1000</f>
        <v>26254.44844</v>
      </c>
      <c r="D21" s="21"/>
      <c r="E21" s="22"/>
      <c r="F21" s="21">
        <f>(14659895*7.48)/1000</f>
        <v>109656.01460000001</v>
      </c>
      <c r="G21" s="21">
        <f>(2868915*7.48)/1000</f>
        <v>21459.484200000003</v>
      </c>
      <c r="H21" s="21"/>
      <c r="I21" s="29"/>
      <c r="J21" s="29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x14ac:dyDescent="0.3">
      <c r="A22" s="41" t="s">
        <v>11</v>
      </c>
      <c r="B22" s="21">
        <f>(19375729*7.48)/1000</f>
        <v>144930.45292000001</v>
      </c>
      <c r="C22" s="21">
        <f>(8515090*7.48)/1000-30444</f>
        <v>33248.873200000002</v>
      </c>
      <c r="D22" s="21">
        <f>30443600/1000</f>
        <v>30443.599999999999</v>
      </c>
      <c r="E22" s="22"/>
      <c r="F22" s="21">
        <f>(20681315*7.48)/1000</f>
        <v>154696.23620000001</v>
      </c>
      <c r="G22" s="21">
        <f>(6375321*7.48)/1000</f>
        <v>47687.401080000003</v>
      </c>
      <c r="H22" s="21">
        <f>27331000/1000</f>
        <v>27331</v>
      </c>
      <c r="I22" s="29"/>
      <c r="J22" s="29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x14ac:dyDescent="0.3">
      <c r="A23" s="41" t="s">
        <v>12</v>
      </c>
      <c r="B23" s="21">
        <f>(20190911*7.48)/1000</f>
        <v>151028.01428</v>
      </c>
      <c r="C23" s="21">
        <f>(5705874*7.48)/1000</f>
        <v>42679.937520000007</v>
      </c>
      <c r="D23" s="21"/>
      <c r="E23" s="22"/>
      <c r="F23" s="21">
        <f>(21375582*7.48)/1000</f>
        <v>159889.35336000001</v>
      </c>
      <c r="G23" s="21">
        <f>(4505708*7.48)/1000</f>
        <v>33702.69584</v>
      </c>
      <c r="H23" s="21"/>
      <c r="I23" s="29"/>
      <c r="J23" s="29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x14ac:dyDescent="0.3">
      <c r="A24" s="41" t="s">
        <v>13</v>
      </c>
      <c r="B24" s="21">
        <f>(19226783*7.48)/1000</f>
        <v>143816.33684</v>
      </c>
      <c r="C24" s="21">
        <f>(4550334*7.48)/1000</f>
        <v>34036.498319999999</v>
      </c>
      <c r="D24" s="21"/>
      <c r="E24" s="22"/>
      <c r="F24" s="21">
        <f>(21392244*7.48)/1000</f>
        <v>160013.98512</v>
      </c>
      <c r="G24" s="21">
        <f>(4095022*7.48)/1000</f>
        <v>30630.764560000003</v>
      </c>
      <c r="H24" s="21"/>
      <c r="I24" s="29"/>
      <c r="J24" s="29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x14ac:dyDescent="0.3">
      <c r="A25" s="41" t="s">
        <v>49</v>
      </c>
      <c r="B25" s="21">
        <f>(34840569*7.48)/1000</f>
        <v>260607.45612000002</v>
      </c>
      <c r="C25" s="21">
        <f>(11546494*7.48)/1000</f>
        <v>86367.775120000006</v>
      </c>
      <c r="D25" s="21">
        <f>38376140/1000</f>
        <v>38376.14</v>
      </c>
      <c r="E25" s="22"/>
      <c r="F25" s="21">
        <f>(45186583*7.48)/1000</f>
        <v>337995.64084000001</v>
      </c>
      <c r="G25" s="21">
        <f>(11756680*7.48)/1000</f>
        <v>87939.966400000005</v>
      </c>
      <c r="H25" s="21">
        <f>50400240/1000</f>
        <v>50400.24</v>
      </c>
      <c r="I25" s="29"/>
      <c r="J25" s="29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x14ac:dyDescent="0.3">
      <c r="A26" s="41" t="s">
        <v>50</v>
      </c>
      <c r="B26" s="21">
        <f>(23208739*7.48)/1000</f>
        <v>173601.36772000001</v>
      </c>
      <c r="C26" s="21">
        <f>(6625903*7.48)/1000</f>
        <v>49561.754440000004</v>
      </c>
      <c r="D26" s="21"/>
      <c r="E26" s="22"/>
      <c r="F26" s="21">
        <f>(32493193*7.48)/1000</f>
        <v>243049.08364000003</v>
      </c>
      <c r="G26" s="21">
        <f>(6820541*7.48)/1000</f>
        <v>51017.646679999998</v>
      </c>
      <c r="H26" s="21"/>
      <c r="I26" s="29"/>
      <c r="J26" s="29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x14ac:dyDescent="0.3">
      <c r="A27" s="41" t="s">
        <v>51</v>
      </c>
      <c r="B27" s="21"/>
      <c r="C27" s="21"/>
      <c r="D27" s="21"/>
      <c r="E27" s="22"/>
      <c r="F27" s="21"/>
      <c r="G27" s="21"/>
      <c r="H27" s="21"/>
      <c r="I27" s="29"/>
      <c r="J27" s="29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x14ac:dyDescent="0.3">
      <c r="A28" s="41" t="s">
        <v>52</v>
      </c>
      <c r="B28" s="21"/>
      <c r="C28" s="21"/>
      <c r="D28" s="21"/>
      <c r="E28" s="22"/>
      <c r="F28" s="21"/>
      <c r="G28" s="21"/>
      <c r="H28" s="21"/>
      <c r="I28" s="29"/>
      <c r="J28" s="29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ht="6.75" customHeight="1" x14ac:dyDescent="0.3">
      <c r="A29" s="33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ht="2.25" customHeight="1" x14ac:dyDescent="0.3">
      <c r="A30" s="35"/>
      <c r="B30" s="57"/>
      <c r="C30" s="57"/>
      <c r="D30" s="57"/>
      <c r="E30" s="57"/>
      <c r="F30" s="57"/>
      <c r="G30" s="57"/>
      <c r="H30" s="57"/>
      <c r="I30" s="29"/>
      <c r="J30" s="29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ht="6.75" customHeight="1" x14ac:dyDescent="0.3">
      <c r="A31" s="33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ht="23.4" x14ac:dyDescent="0.45">
      <c r="A32" s="36"/>
      <c r="B32" s="61" t="str">
        <f>"Input Water Produced ("&amp;C10&amp;")"</f>
        <v>Input Water Produced (MG)</v>
      </c>
      <c r="C32" s="61"/>
      <c r="D32" s="61"/>
      <c r="E32" s="61"/>
      <c r="F32" s="61"/>
      <c r="G32" s="61"/>
      <c r="H32" s="61"/>
      <c r="I32" s="31"/>
      <c r="J32" s="31"/>
      <c r="K32" s="31"/>
      <c r="L32" s="31"/>
      <c r="M32" s="31"/>
      <c r="N32" s="31"/>
      <c r="O32" s="31"/>
      <c r="P32" s="31"/>
      <c r="Q32" s="67">
        <v>208717800</v>
      </c>
      <c r="R32" s="67">
        <v>233341224.62799072</v>
      </c>
      <c r="S32" s="5">
        <v>0.11797472294165003</v>
      </c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x14ac:dyDescent="0.3">
      <c r="A33" s="36"/>
      <c r="B33" s="56" t="s">
        <v>20</v>
      </c>
      <c r="C33" s="56"/>
      <c r="D33" s="56"/>
      <c r="E33" s="56"/>
      <c r="F33" s="56"/>
      <c r="G33" s="56"/>
      <c r="H33" s="56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ht="23.4" x14ac:dyDescent="0.45">
      <c r="A34" s="36"/>
      <c r="B34" s="33"/>
      <c r="C34" s="37" t="s">
        <v>3</v>
      </c>
      <c r="D34" s="38" t="s">
        <v>18</v>
      </c>
      <c r="E34" s="39"/>
      <c r="F34" s="38" t="s">
        <v>17</v>
      </c>
      <c r="G34" s="40"/>
      <c r="H34" s="33"/>
      <c r="I34" s="29"/>
      <c r="J34" s="29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x14ac:dyDescent="0.3">
      <c r="A35" s="36"/>
      <c r="B35" s="33"/>
      <c r="C35" s="41" t="s">
        <v>8</v>
      </c>
      <c r="D35" s="48">
        <v>173.84700000000001</v>
      </c>
      <c r="E35" s="49"/>
      <c r="F35" s="48">
        <v>167.53200000000001</v>
      </c>
      <c r="G35" s="43"/>
      <c r="H35" s="31"/>
      <c r="I35" s="29"/>
      <c r="J35" s="29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x14ac:dyDescent="0.3">
      <c r="A36" s="36"/>
      <c r="B36" s="33"/>
      <c r="C36" s="41" t="s">
        <v>9</v>
      </c>
      <c r="D36" s="48">
        <v>195.333</v>
      </c>
      <c r="E36" s="49"/>
      <c r="F36" s="48">
        <v>190.30600000000001</v>
      </c>
      <c r="G36" s="43"/>
      <c r="H36" s="31"/>
      <c r="I36" s="29"/>
      <c r="J36" s="29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x14ac:dyDescent="0.3">
      <c r="A37" s="36"/>
      <c r="B37" s="33"/>
      <c r="C37" s="41" t="s">
        <v>10</v>
      </c>
      <c r="D37" s="48">
        <v>193.55099999999999</v>
      </c>
      <c r="E37" s="49"/>
      <c r="F37" s="48">
        <v>178.22</v>
      </c>
      <c r="G37" s="43"/>
      <c r="H37" s="31"/>
      <c r="I37" s="29"/>
      <c r="J37" s="29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x14ac:dyDescent="0.3">
      <c r="A38" s="36"/>
      <c r="B38" s="33"/>
      <c r="C38" s="41" t="s">
        <v>2</v>
      </c>
      <c r="D38" s="48">
        <v>228.09100000000001</v>
      </c>
      <c r="E38" s="49"/>
      <c r="F38" s="48">
        <v>240.625</v>
      </c>
      <c r="G38" s="43"/>
      <c r="H38" s="31"/>
      <c r="I38" s="29"/>
      <c r="J38" s="29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x14ac:dyDescent="0.3">
      <c r="A39" s="36"/>
      <c r="B39" s="33"/>
      <c r="C39" s="41" t="s">
        <v>11</v>
      </c>
      <c r="D39" s="20">
        <v>257.89999999999998</v>
      </c>
      <c r="E39" s="42"/>
      <c r="F39" s="20">
        <v>348.57</v>
      </c>
      <c r="G39" s="43"/>
      <c r="H39" s="31"/>
      <c r="I39" s="29"/>
      <c r="J39" s="29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x14ac:dyDescent="0.3">
      <c r="A40" s="36"/>
      <c r="B40" s="33"/>
      <c r="C40" s="41" t="s">
        <v>12</v>
      </c>
      <c r="D40" s="20">
        <v>333.37</v>
      </c>
      <c r="E40" s="42"/>
      <c r="F40" s="20">
        <v>381.34</v>
      </c>
      <c r="G40" s="43"/>
      <c r="H40" s="31"/>
      <c r="I40" s="29"/>
      <c r="J40" s="29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x14ac:dyDescent="0.3">
      <c r="A41" s="36"/>
      <c r="B41" s="33"/>
      <c r="C41" s="41" t="s">
        <v>13</v>
      </c>
      <c r="D41" s="48">
        <v>323.49</v>
      </c>
      <c r="E41" s="49"/>
      <c r="F41" s="48">
        <v>370.12</v>
      </c>
      <c r="G41" s="43"/>
      <c r="H41" s="31"/>
      <c r="I41" s="29"/>
      <c r="J41" s="29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x14ac:dyDescent="0.3">
      <c r="A42" s="36"/>
      <c r="B42" s="33"/>
      <c r="C42" s="41" t="s">
        <v>49</v>
      </c>
      <c r="D42" s="48">
        <v>282.52999999999997</v>
      </c>
      <c r="E42" s="49"/>
      <c r="F42" s="48">
        <v>320.39</v>
      </c>
      <c r="G42" s="43"/>
      <c r="H42" s="31"/>
      <c r="I42" s="29"/>
      <c r="J42" s="29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x14ac:dyDescent="0.3">
      <c r="A43" s="36"/>
      <c r="B43" s="33"/>
      <c r="C43" s="41" t="s">
        <v>50</v>
      </c>
      <c r="D43" s="48">
        <v>208.72</v>
      </c>
      <c r="E43" s="49"/>
      <c r="F43" s="48">
        <v>233.34</v>
      </c>
      <c r="G43" s="43"/>
      <c r="H43" s="31"/>
      <c r="I43" s="29"/>
      <c r="J43" s="29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x14ac:dyDescent="0.3">
      <c r="A44" s="36"/>
      <c r="B44" s="33"/>
      <c r="C44" s="41" t="s">
        <v>51</v>
      </c>
      <c r="D44" s="48"/>
      <c r="E44" s="49"/>
      <c r="F44" s="48"/>
      <c r="G44" s="43"/>
      <c r="H44" s="31"/>
      <c r="I44" s="29"/>
      <c r="J44" s="29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x14ac:dyDescent="0.3">
      <c r="A45" s="36"/>
      <c r="B45" s="33"/>
      <c r="C45" s="41" t="s">
        <v>52</v>
      </c>
      <c r="D45" s="20"/>
      <c r="E45" s="42"/>
      <c r="F45" s="20"/>
      <c r="G45" s="43"/>
      <c r="H45" s="31"/>
      <c r="I45" s="29"/>
      <c r="J45" s="29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x14ac:dyDescent="0.3">
      <c r="A46" s="36"/>
      <c r="B46" s="33"/>
      <c r="C46" s="33"/>
      <c r="D46" s="29"/>
      <c r="E46" s="29"/>
      <c r="F46" s="29"/>
      <c r="G46" s="29"/>
      <c r="H46" s="29"/>
      <c r="I46" s="29"/>
      <c r="J46" s="29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x14ac:dyDescent="0.3">
      <c r="A47" s="36"/>
      <c r="B47" s="33"/>
      <c r="C47" s="33"/>
      <c r="D47" s="29" t="s">
        <v>56</v>
      </c>
      <c r="E47" s="29"/>
      <c r="F47" s="29"/>
      <c r="G47" s="29"/>
      <c r="H47" s="29"/>
      <c r="I47" s="29"/>
      <c r="J47" s="29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x14ac:dyDescent="0.3">
      <c r="A48" s="33"/>
      <c r="B48" s="33"/>
      <c r="C48" s="33"/>
      <c r="D48" s="29"/>
      <c r="E48" s="29"/>
      <c r="F48" s="29"/>
      <c r="G48" s="29"/>
      <c r="H48" s="29"/>
      <c r="I48" s="29"/>
      <c r="J48" s="29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x14ac:dyDescent="0.3">
      <c r="A49" s="33"/>
      <c r="B49" s="33"/>
      <c r="C49" s="33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x14ac:dyDescent="0.3">
      <c r="A50" s="33"/>
      <c r="B50" s="33"/>
      <c r="C50" s="33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x14ac:dyDescent="0.3">
      <c r="A51" s="33"/>
      <c r="B51" s="33"/>
      <c r="C51" s="33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x14ac:dyDescent="0.3">
      <c r="A52" s="33"/>
      <c r="B52" s="33"/>
      <c r="C52" s="33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x14ac:dyDescent="0.3">
      <c r="A53" s="33"/>
      <c r="B53" s="33"/>
      <c r="C53" s="33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x14ac:dyDescent="0.3">
      <c r="A54" s="33"/>
      <c r="B54" s="33"/>
      <c r="C54" s="33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x14ac:dyDescent="0.3">
      <c r="A55" s="33"/>
      <c r="B55" s="33"/>
      <c r="C55" s="33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x14ac:dyDescent="0.3">
      <c r="A56" s="33"/>
      <c r="B56" s="33"/>
      <c r="C56" s="33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x14ac:dyDescent="0.3">
      <c r="A57" s="33"/>
      <c r="B57" s="33"/>
      <c r="C57" s="33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x14ac:dyDescent="0.3">
      <c r="A58" s="33"/>
      <c r="B58" s="33"/>
      <c r="C58" s="33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x14ac:dyDescent="0.3">
      <c r="A59" s="33"/>
      <c r="B59" s="33"/>
      <c r="C59" s="33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x14ac:dyDescent="0.3">
      <c r="A60" s="33"/>
      <c r="B60" s="33"/>
      <c r="C60" s="33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x14ac:dyDescent="0.3">
      <c r="A61" s="33"/>
      <c r="B61" s="33"/>
      <c r="C61" s="33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x14ac:dyDescent="0.3">
      <c r="A62" s="33"/>
      <c r="B62" s="33"/>
      <c r="C62" s="33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x14ac:dyDescent="0.3">
      <c r="A63" s="33"/>
      <c r="B63" s="33"/>
      <c r="C63" s="33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x14ac:dyDescent="0.3">
      <c r="A64" s="33"/>
      <c r="B64" s="33"/>
      <c r="C64" s="33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x14ac:dyDescent="0.3">
      <c r="A65" s="33"/>
      <c r="B65" s="33"/>
      <c r="C65" s="33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x14ac:dyDescent="0.3">
      <c r="A66" s="33"/>
      <c r="B66" s="33"/>
      <c r="C66" s="33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1:71" x14ac:dyDescent="0.3">
      <c r="A67" s="33"/>
      <c r="B67" s="33"/>
      <c r="C67" s="33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</row>
    <row r="68" spans="1:71" x14ac:dyDescent="0.3">
      <c r="A68" s="33"/>
      <c r="B68" s="33"/>
      <c r="C68" s="33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1:71" x14ac:dyDescent="0.3">
      <c r="A69" s="33"/>
      <c r="B69" s="33"/>
      <c r="C69" s="33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  <row r="70" spans="1:71" x14ac:dyDescent="0.3">
      <c r="A70" s="33"/>
      <c r="B70" s="33"/>
      <c r="C70" s="33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</row>
    <row r="71" spans="1:71" x14ac:dyDescent="0.3">
      <c r="A71" s="33"/>
      <c r="B71" s="33"/>
      <c r="C71" s="33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</row>
    <row r="72" spans="1:71" x14ac:dyDescent="0.3">
      <c r="A72" s="33"/>
      <c r="B72" s="33"/>
      <c r="C72" s="33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</row>
    <row r="73" spans="1:71" x14ac:dyDescent="0.3"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</row>
    <row r="74" spans="1:71" x14ac:dyDescent="0.3"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</row>
    <row r="75" spans="1:71" x14ac:dyDescent="0.3"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</row>
    <row r="76" spans="1:71" x14ac:dyDescent="0.3"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</row>
    <row r="77" spans="1:71" x14ac:dyDescent="0.3"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</row>
    <row r="78" spans="1:71" x14ac:dyDescent="0.3"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</row>
    <row r="79" spans="1:71" x14ac:dyDescent="0.3"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</row>
    <row r="80" spans="1:71" x14ac:dyDescent="0.3"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</row>
    <row r="81" spans="9:71" x14ac:dyDescent="0.3"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</row>
    <row r="82" spans="9:71" x14ac:dyDescent="0.3"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</row>
    <row r="83" spans="9:71" x14ac:dyDescent="0.3"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</row>
    <row r="84" spans="9:71" x14ac:dyDescent="0.3"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</row>
    <row r="85" spans="9:71" x14ac:dyDescent="0.3"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</row>
    <row r="86" spans="9:71" x14ac:dyDescent="0.3"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</row>
    <row r="87" spans="9:71" x14ac:dyDescent="0.3"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</row>
    <row r="88" spans="9:71" x14ac:dyDescent="0.3"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</row>
    <row r="89" spans="9:71" x14ac:dyDescent="0.3"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</row>
    <row r="90" spans="9:71" x14ac:dyDescent="0.3"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</row>
    <row r="91" spans="9:71" x14ac:dyDescent="0.3"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</row>
    <row r="92" spans="9:71" x14ac:dyDescent="0.3"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</row>
    <row r="93" spans="9:71" x14ac:dyDescent="0.3"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</row>
    <row r="94" spans="9:71" x14ac:dyDescent="0.3"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</row>
    <row r="95" spans="9:71" x14ac:dyDescent="0.3"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</row>
    <row r="96" spans="9:71" x14ac:dyDescent="0.3"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</row>
    <row r="97" spans="9:71" x14ac:dyDescent="0.3"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</row>
    <row r="98" spans="9:71" x14ac:dyDescent="0.3"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</row>
    <row r="99" spans="9:71" x14ac:dyDescent="0.3"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</row>
    <row r="100" spans="9:71" x14ac:dyDescent="0.3"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</row>
    <row r="101" spans="9:71" x14ac:dyDescent="0.3"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</row>
    <row r="102" spans="9:71" x14ac:dyDescent="0.3"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</row>
    <row r="103" spans="9:71" x14ac:dyDescent="0.3"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</row>
    <row r="104" spans="9:71" x14ac:dyDescent="0.3"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</row>
    <row r="105" spans="9:71" x14ac:dyDescent="0.3"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</row>
    <row r="106" spans="9:71" x14ac:dyDescent="0.3"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</row>
    <row r="107" spans="9:71" x14ac:dyDescent="0.3"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</row>
    <row r="108" spans="9:71" x14ac:dyDescent="0.3"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</row>
    <row r="109" spans="9:71" x14ac:dyDescent="0.3"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</row>
    <row r="110" spans="9:71" x14ac:dyDescent="0.3"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</row>
    <row r="111" spans="9:71" x14ac:dyDescent="0.3"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</row>
    <row r="112" spans="9:71" x14ac:dyDescent="0.3"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</row>
    <row r="113" spans="9:71" x14ac:dyDescent="0.3"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</row>
    <row r="114" spans="9:71" x14ac:dyDescent="0.3"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</row>
    <row r="115" spans="9:71" x14ac:dyDescent="0.3"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</row>
    <row r="116" spans="9:71" x14ac:dyDescent="0.3"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</row>
    <row r="117" spans="9:71" x14ac:dyDescent="0.3"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</row>
    <row r="118" spans="9:71" x14ac:dyDescent="0.3"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</row>
    <row r="119" spans="9:71" x14ac:dyDescent="0.3"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</row>
    <row r="120" spans="9:71" x14ac:dyDescent="0.3"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</row>
    <row r="121" spans="9:71" x14ac:dyDescent="0.3"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</row>
    <row r="122" spans="9:71" x14ac:dyDescent="0.3"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</row>
    <row r="123" spans="9:71" x14ac:dyDescent="0.3"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</row>
    <row r="124" spans="9:71" x14ac:dyDescent="0.3"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</row>
    <row r="125" spans="9:71" x14ac:dyDescent="0.3"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</row>
    <row r="126" spans="9:71" x14ac:dyDescent="0.3"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</row>
    <row r="127" spans="9:71" x14ac:dyDescent="0.3"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</row>
    <row r="128" spans="9:71" x14ac:dyDescent="0.3"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</row>
    <row r="129" spans="9:71" x14ac:dyDescent="0.3"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</row>
    <row r="130" spans="9:71" x14ac:dyDescent="0.3"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</row>
    <row r="131" spans="9:71" x14ac:dyDescent="0.3"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</row>
    <row r="132" spans="9:71" x14ac:dyDescent="0.3"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</row>
    <row r="133" spans="9:71" x14ac:dyDescent="0.3"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</row>
    <row r="134" spans="9:71" x14ac:dyDescent="0.3"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</row>
    <row r="135" spans="9:71" x14ac:dyDescent="0.3"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</row>
    <row r="136" spans="9:71" x14ac:dyDescent="0.3"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</row>
    <row r="137" spans="9:71" x14ac:dyDescent="0.3"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</row>
    <row r="138" spans="9:71" x14ac:dyDescent="0.3"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</row>
    <row r="139" spans="9:71" x14ac:dyDescent="0.3"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</row>
    <row r="140" spans="9:71" x14ac:dyDescent="0.3"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</row>
    <row r="141" spans="9:71" x14ac:dyDescent="0.3"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</row>
    <row r="142" spans="9:71" x14ac:dyDescent="0.3"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</row>
    <row r="143" spans="9:71" x14ac:dyDescent="0.3"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</row>
    <row r="144" spans="9:71" x14ac:dyDescent="0.3"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</row>
    <row r="145" spans="9:71" x14ac:dyDescent="0.3"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</row>
    <row r="146" spans="9:71" x14ac:dyDescent="0.3"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</row>
    <row r="147" spans="9:71" x14ac:dyDescent="0.3"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</row>
    <row r="148" spans="9:71" x14ac:dyDescent="0.3"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</row>
    <row r="149" spans="9:71" x14ac:dyDescent="0.3"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</row>
    <row r="150" spans="9:71" x14ac:dyDescent="0.3"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9:71" x14ac:dyDescent="0.3"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</row>
    <row r="152" spans="9:71" x14ac:dyDescent="0.3"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</row>
    <row r="153" spans="9:71" x14ac:dyDescent="0.3"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</row>
    <row r="154" spans="9:71" x14ac:dyDescent="0.3"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</row>
    <row r="155" spans="9:71" x14ac:dyDescent="0.3"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</row>
    <row r="156" spans="9:71" x14ac:dyDescent="0.3"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</row>
    <row r="157" spans="9:71" x14ac:dyDescent="0.3"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</row>
    <row r="158" spans="9:71" x14ac:dyDescent="0.3"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</row>
    <row r="159" spans="9:71" x14ac:dyDescent="0.3"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</row>
    <row r="160" spans="9:71" x14ac:dyDescent="0.3"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</row>
    <row r="161" spans="9:71" x14ac:dyDescent="0.3"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</row>
    <row r="162" spans="9:71" x14ac:dyDescent="0.3"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</row>
    <row r="163" spans="9:71" x14ac:dyDescent="0.3"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</row>
    <row r="164" spans="9:71" x14ac:dyDescent="0.3"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</row>
    <row r="165" spans="9:71" x14ac:dyDescent="0.3"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</row>
    <row r="166" spans="9:71" x14ac:dyDescent="0.3"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</row>
    <row r="167" spans="9:71" x14ac:dyDescent="0.3"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</row>
    <row r="168" spans="9:71" x14ac:dyDescent="0.3"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</row>
    <row r="169" spans="9:71" x14ac:dyDescent="0.3"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</row>
    <row r="170" spans="9:71" x14ac:dyDescent="0.3"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</row>
    <row r="171" spans="9:71" x14ac:dyDescent="0.3"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</row>
    <row r="172" spans="9:71" x14ac:dyDescent="0.3"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</row>
    <row r="173" spans="9:71" x14ac:dyDescent="0.3"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</row>
    <row r="174" spans="9:71" x14ac:dyDescent="0.3"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</row>
    <row r="175" spans="9:71" x14ac:dyDescent="0.3"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</row>
    <row r="176" spans="9:71" x14ac:dyDescent="0.3"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</row>
    <row r="177" spans="9:71" x14ac:dyDescent="0.3"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</row>
    <row r="178" spans="9:71" x14ac:dyDescent="0.3"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</row>
    <row r="179" spans="9:71" x14ac:dyDescent="0.3"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</row>
    <row r="180" spans="9:71" x14ac:dyDescent="0.3"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</row>
    <row r="181" spans="9:71" x14ac:dyDescent="0.3"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</row>
    <row r="182" spans="9:71" x14ac:dyDescent="0.3"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</row>
    <row r="183" spans="9:71" x14ac:dyDescent="0.3"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</row>
    <row r="184" spans="9:71" x14ac:dyDescent="0.3"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</row>
    <row r="185" spans="9:71" x14ac:dyDescent="0.3"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</row>
    <row r="186" spans="9:71" x14ac:dyDescent="0.3"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</row>
    <row r="187" spans="9:71" x14ac:dyDescent="0.3"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</row>
    <row r="188" spans="9:71" x14ac:dyDescent="0.3"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</row>
    <row r="189" spans="9:71" x14ac:dyDescent="0.3"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</row>
    <row r="190" spans="9:71" x14ac:dyDescent="0.3"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</row>
    <row r="191" spans="9:71" x14ac:dyDescent="0.3"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</row>
    <row r="192" spans="9:71" x14ac:dyDescent="0.3"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</row>
    <row r="193" spans="9:71" x14ac:dyDescent="0.3"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</row>
    <row r="194" spans="9:71" x14ac:dyDescent="0.3"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</row>
    <row r="195" spans="9:71" x14ac:dyDescent="0.3"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</row>
    <row r="196" spans="9:71" x14ac:dyDescent="0.3"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</row>
    <row r="197" spans="9:71" x14ac:dyDescent="0.3"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</row>
    <row r="198" spans="9:71" x14ac:dyDescent="0.3"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</row>
    <row r="199" spans="9:71" x14ac:dyDescent="0.3"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</row>
    <row r="200" spans="9:71" x14ac:dyDescent="0.3"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</row>
    <row r="201" spans="9:71" x14ac:dyDescent="0.3"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</row>
    <row r="202" spans="9:71" x14ac:dyDescent="0.3"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</row>
    <row r="203" spans="9:71" x14ac:dyDescent="0.3"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</row>
    <row r="204" spans="9:71" x14ac:dyDescent="0.3"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</row>
    <row r="205" spans="9:71" x14ac:dyDescent="0.3"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</row>
    <row r="206" spans="9:71" x14ac:dyDescent="0.3"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</row>
    <row r="207" spans="9:71" x14ac:dyDescent="0.3"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</row>
    <row r="208" spans="9:71" x14ac:dyDescent="0.3"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</row>
    <row r="209" spans="9:71" x14ac:dyDescent="0.3"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</row>
    <row r="210" spans="9:71" x14ac:dyDescent="0.3"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</row>
    <row r="211" spans="9:71" x14ac:dyDescent="0.3"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</row>
    <row r="212" spans="9:71" x14ac:dyDescent="0.3"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</row>
    <row r="213" spans="9:71" x14ac:dyDescent="0.3"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</row>
    <row r="214" spans="9:71" x14ac:dyDescent="0.3"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</row>
    <row r="215" spans="9:71" x14ac:dyDescent="0.3"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</row>
    <row r="216" spans="9:71" x14ac:dyDescent="0.3"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</row>
    <row r="217" spans="9:71" x14ac:dyDescent="0.3"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</row>
    <row r="218" spans="9:71" x14ac:dyDescent="0.3"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</row>
    <row r="219" spans="9:71" x14ac:dyDescent="0.3"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</row>
    <row r="220" spans="9:71" x14ac:dyDescent="0.3"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</row>
    <row r="221" spans="9:71" x14ac:dyDescent="0.3"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</row>
    <row r="222" spans="9:71" x14ac:dyDescent="0.3"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</row>
    <row r="223" spans="9:71" x14ac:dyDescent="0.3"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</row>
    <row r="224" spans="9:71" x14ac:dyDescent="0.3"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</row>
    <row r="225" spans="9:71" x14ac:dyDescent="0.3"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</row>
    <row r="226" spans="9:71" x14ac:dyDescent="0.3"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</row>
    <row r="227" spans="9:71" x14ac:dyDescent="0.3"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</row>
    <row r="228" spans="9:71" x14ac:dyDescent="0.3"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</row>
    <row r="229" spans="9:71" x14ac:dyDescent="0.3"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</row>
    <row r="230" spans="9:71" x14ac:dyDescent="0.3"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</row>
    <row r="231" spans="9:71" x14ac:dyDescent="0.3"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</row>
    <row r="232" spans="9:71" x14ac:dyDescent="0.3"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</row>
    <row r="233" spans="9:71" x14ac:dyDescent="0.3"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</row>
    <row r="234" spans="9:71" x14ac:dyDescent="0.3"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</row>
    <row r="235" spans="9:71" x14ac:dyDescent="0.3"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</row>
    <row r="236" spans="9:71" x14ac:dyDescent="0.3"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</row>
    <row r="237" spans="9:71" x14ac:dyDescent="0.3"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</row>
    <row r="238" spans="9:71" x14ac:dyDescent="0.3"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</row>
    <row r="239" spans="9:71" x14ac:dyDescent="0.3"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</row>
    <row r="240" spans="9:71" x14ac:dyDescent="0.3"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</row>
    <row r="241" spans="9:71" x14ac:dyDescent="0.3"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</row>
    <row r="242" spans="9:71" x14ac:dyDescent="0.3"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</row>
    <row r="243" spans="9:71" x14ac:dyDescent="0.3"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</row>
    <row r="244" spans="9:71" x14ac:dyDescent="0.3"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</row>
    <row r="245" spans="9:71" x14ac:dyDescent="0.3"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</row>
    <row r="246" spans="9:71" x14ac:dyDescent="0.3"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</row>
    <row r="247" spans="9:71" x14ac:dyDescent="0.3"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</row>
    <row r="248" spans="9:71" x14ac:dyDescent="0.3"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</row>
    <row r="249" spans="9:71" x14ac:dyDescent="0.3"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</row>
    <row r="250" spans="9:71" x14ac:dyDescent="0.3"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</row>
    <row r="251" spans="9:71" x14ac:dyDescent="0.3"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</row>
    <row r="252" spans="9:71" x14ac:dyDescent="0.3"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</row>
    <row r="253" spans="9:71" x14ac:dyDescent="0.3"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</row>
    <row r="254" spans="9:71" x14ac:dyDescent="0.3"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</row>
    <row r="255" spans="9:71" x14ac:dyDescent="0.3"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</row>
    <row r="256" spans="9:71" x14ac:dyDescent="0.3"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</row>
    <row r="257" spans="9:71" x14ac:dyDescent="0.3"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</row>
    <row r="258" spans="9:71" x14ac:dyDescent="0.3"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</row>
    <row r="259" spans="9:71" x14ac:dyDescent="0.3"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</row>
    <row r="260" spans="9:71" x14ac:dyDescent="0.3"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</row>
    <row r="261" spans="9:71" x14ac:dyDescent="0.3"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</row>
    <row r="262" spans="9:71" x14ac:dyDescent="0.3"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</row>
    <row r="263" spans="9:71" x14ac:dyDescent="0.3"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</row>
    <row r="264" spans="9:71" x14ac:dyDescent="0.3"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</row>
    <row r="265" spans="9:71" x14ac:dyDescent="0.3"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</row>
    <row r="266" spans="9:71" x14ac:dyDescent="0.3"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</row>
    <row r="267" spans="9:71" x14ac:dyDescent="0.3"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</row>
    <row r="268" spans="9:71" x14ac:dyDescent="0.3"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</row>
    <row r="269" spans="9:71" x14ac:dyDescent="0.3"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</row>
    <row r="270" spans="9:71" x14ac:dyDescent="0.3"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</row>
    <row r="271" spans="9:71" x14ac:dyDescent="0.3"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</row>
    <row r="272" spans="9:71" x14ac:dyDescent="0.3"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</row>
    <row r="273" spans="9:71" x14ac:dyDescent="0.3"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</row>
    <row r="274" spans="9:71" x14ac:dyDescent="0.3"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</row>
    <row r="275" spans="9:71" x14ac:dyDescent="0.3"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</row>
    <row r="276" spans="9:71" x14ac:dyDescent="0.3"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</row>
    <row r="277" spans="9:71" x14ac:dyDescent="0.3"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</row>
    <row r="278" spans="9:71" x14ac:dyDescent="0.3"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</row>
    <row r="279" spans="9:71" x14ac:dyDescent="0.3"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</row>
    <row r="280" spans="9:71" x14ac:dyDescent="0.3"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</row>
    <row r="281" spans="9:71" x14ac:dyDescent="0.3"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</row>
    <row r="282" spans="9:71" x14ac:dyDescent="0.3"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</row>
    <row r="283" spans="9:71" x14ac:dyDescent="0.3"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</row>
    <row r="284" spans="9:71" x14ac:dyDescent="0.3"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</row>
    <row r="285" spans="9:71" x14ac:dyDescent="0.3"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</row>
    <row r="286" spans="9:71" x14ac:dyDescent="0.3"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</row>
    <row r="287" spans="9:71" x14ac:dyDescent="0.3"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</row>
    <row r="288" spans="9:71" x14ac:dyDescent="0.3"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</row>
    <row r="289" spans="9:71" x14ac:dyDescent="0.3"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</row>
    <row r="290" spans="9:71" x14ac:dyDescent="0.3"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</row>
    <row r="291" spans="9:71" x14ac:dyDescent="0.3"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</row>
    <row r="292" spans="9:71" x14ac:dyDescent="0.3"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</row>
    <row r="293" spans="9:71" x14ac:dyDescent="0.3"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</row>
    <row r="294" spans="9:71" x14ac:dyDescent="0.3"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</row>
    <row r="295" spans="9:71" x14ac:dyDescent="0.3"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</row>
  </sheetData>
  <mergeCells count="14">
    <mergeCell ref="B33:H33"/>
    <mergeCell ref="B30:H30"/>
    <mergeCell ref="B12:H12"/>
    <mergeCell ref="A1:H4"/>
    <mergeCell ref="B32:H32"/>
    <mergeCell ref="C8:D8"/>
    <mergeCell ref="C9:D9"/>
    <mergeCell ref="C10:D10"/>
    <mergeCell ref="B14:H14"/>
    <mergeCell ref="B15:H15"/>
    <mergeCell ref="F16:H16"/>
    <mergeCell ref="B16:D16"/>
    <mergeCell ref="A5:H6"/>
    <mergeCell ref="A7:H7"/>
  </mergeCells>
  <dataValidations count="2">
    <dataValidation type="list" allowBlank="1" showInputMessage="1" showErrorMessage="1" sqref="C9" xr:uid="{9A250A00-E307-4E80-B9E6-BCDB0FDFA7B5}">
      <formula1>"Kgal, Gallons, Ccf, Cubic Feet"</formula1>
    </dataValidation>
    <dataValidation type="list" allowBlank="1" showInputMessage="1" showErrorMessage="1" sqref="C10:D10" xr:uid="{1F0122CB-CB8A-4D97-A6DE-E93FE954EB7B}">
      <formula1>"MG, MGD, Kgal, Ccf"</formula1>
    </dataValidation>
  </dataValidations>
  <pageMargins left="0.25" right="0.25" top="0.75" bottom="0.75" header="0.3" footer="0.3"/>
  <pageSetup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AJ84"/>
  <sheetViews>
    <sheetView zoomScaleNormal="100" workbookViewId="0">
      <selection activeCell="K45" sqref="K45"/>
    </sheetView>
  </sheetViews>
  <sheetFormatPr defaultColWidth="9.109375" defaultRowHeight="14.4" x14ac:dyDescent="0.3"/>
  <cols>
    <col min="1" max="1" width="3.44140625" style="8" customWidth="1"/>
    <col min="2" max="2" width="3.88671875" style="8" customWidth="1"/>
    <col min="3" max="3" width="20.88671875" style="8" customWidth="1"/>
    <col min="4" max="4" width="3.88671875" style="8" customWidth="1"/>
    <col min="5" max="5" width="15.88671875" style="8" customWidth="1"/>
    <col min="6" max="6" width="3.88671875" style="8" customWidth="1"/>
    <col min="7" max="7" width="15.88671875" style="8" customWidth="1"/>
    <col min="8" max="8" width="3.88671875" style="8" customWidth="1"/>
    <col min="9" max="9" width="15.88671875" style="8" customWidth="1"/>
    <col min="10" max="10" width="3.88671875" style="8" customWidth="1"/>
    <col min="11" max="11" width="15.88671875" style="8" customWidth="1"/>
    <col min="12" max="12" width="3.88671875" style="8" customWidth="1"/>
    <col min="13" max="13" width="15.88671875" style="8" customWidth="1"/>
    <col min="14" max="19" width="9.109375" style="31"/>
    <col min="20" max="16384" width="9.109375" style="8"/>
  </cols>
  <sheetData>
    <row r="1" spans="1:24" ht="24" customHeight="1" x14ac:dyDescent="0.5">
      <c r="A1" s="65" t="s">
        <v>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24" ht="28.5" customHeight="1" x14ac:dyDescent="0.5">
      <c r="A2" s="66" t="s">
        <v>59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24" ht="26.25" customHeight="1" x14ac:dyDescent="0.5">
      <c r="A3" s="65" t="s">
        <v>55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24" ht="24.75" customHeight="1" x14ac:dyDescent="0.45">
      <c r="A4" s="45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1"/>
      <c r="U4" s="31"/>
      <c r="V4" s="31"/>
      <c r="W4" s="31"/>
      <c r="X4" s="31"/>
    </row>
    <row r="5" spans="1:24" ht="15" customHeight="1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1"/>
      <c r="U5" s="31"/>
      <c r="V5" s="31"/>
      <c r="W5" s="31"/>
      <c r="X5" s="31"/>
    </row>
    <row r="6" spans="1:24" ht="15" customHeight="1" x14ac:dyDescent="0.35">
      <c r="A6" s="33"/>
      <c r="B6" s="46" t="s">
        <v>25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1"/>
      <c r="U6" s="31"/>
      <c r="V6" s="31"/>
      <c r="W6" s="31"/>
      <c r="X6" s="31"/>
    </row>
    <row r="7" spans="1:24" ht="15" customHeight="1" x14ac:dyDescent="0.3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1"/>
      <c r="U7" s="31"/>
      <c r="V7" s="31"/>
      <c r="W7" s="31"/>
      <c r="X7" s="31"/>
    </row>
    <row r="8" spans="1:24" ht="15" customHeight="1" x14ac:dyDescent="0.3">
      <c r="A8" s="33"/>
      <c r="B8" s="33"/>
      <c r="C8" s="33" t="s">
        <v>26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1"/>
      <c r="U8" s="31"/>
      <c r="V8" s="31"/>
      <c r="W8" s="31"/>
      <c r="X8" s="31"/>
    </row>
    <row r="9" spans="1:24" x14ac:dyDescent="0.3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1"/>
      <c r="U9" s="31"/>
      <c r="V9" s="31"/>
      <c r="W9" s="31"/>
      <c r="X9" s="31"/>
    </row>
    <row r="10" spans="1:24" x14ac:dyDescent="0.3">
      <c r="N10" s="8"/>
      <c r="T10" s="31"/>
      <c r="U10" s="31"/>
      <c r="V10" s="31"/>
      <c r="W10" s="31"/>
      <c r="X10" s="31"/>
    </row>
    <row r="11" spans="1:24" x14ac:dyDescent="0.3">
      <c r="C11" s="25" t="s">
        <v>50</v>
      </c>
      <c r="E11" s="27">
        <v>2436062.6</v>
      </c>
      <c r="G11" s="27">
        <v>1179365.52</v>
      </c>
      <c r="I11" s="27">
        <v>180019.52</v>
      </c>
      <c r="K11" s="27">
        <v>91237.2</v>
      </c>
      <c r="M11" s="27">
        <f>SUM(E11:K11)</f>
        <v>3886684.8400000003</v>
      </c>
      <c r="N11" s="8"/>
      <c r="T11" s="31"/>
      <c r="U11" s="31"/>
      <c r="V11" s="31"/>
      <c r="W11" s="31"/>
      <c r="X11" s="31"/>
    </row>
    <row r="12" spans="1:24" x14ac:dyDescent="0.3">
      <c r="C12" s="26" t="s">
        <v>27</v>
      </c>
      <c r="D12" s="26"/>
      <c r="E12" s="26" t="s">
        <v>28</v>
      </c>
      <c r="F12" s="26"/>
      <c r="G12" s="26" t="s">
        <v>29</v>
      </c>
      <c r="H12" s="26"/>
      <c r="I12" s="26" t="s">
        <v>45</v>
      </c>
      <c r="J12" s="26"/>
      <c r="K12" s="26" t="s">
        <v>46</v>
      </c>
      <c r="L12" s="26"/>
      <c r="M12" s="26" t="s">
        <v>30</v>
      </c>
      <c r="N12" s="8"/>
      <c r="T12" s="31"/>
      <c r="U12" s="31"/>
      <c r="V12" s="31"/>
      <c r="W12" s="31"/>
      <c r="X12" s="31"/>
    </row>
    <row r="13" spans="1:24" x14ac:dyDescent="0.3">
      <c r="N13" s="8"/>
      <c r="T13" s="31"/>
      <c r="U13" s="31"/>
      <c r="V13" s="31"/>
      <c r="W13" s="31"/>
      <c r="X13" s="31"/>
    </row>
    <row r="14" spans="1:24" x14ac:dyDescent="0.3">
      <c r="N14" s="8"/>
      <c r="T14" s="31"/>
      <c r="U14" s="31"/>
      <c r="V14" s="31"/>
      <c r="W14" s="31"/>
      <c r="X14" s="31"/>
    </row>
    <row r="15" spans="1:24" x14ac:dyDescent="0.3">
      <c r="C15" s="25" t="s">
        <v>49</v>
      </c>
      <c r="E15" s="27">
        <v>4248513.97</v>
      </c>
      <c r="G15" s="27">
        <v>471177.91</v>
      </c>
      <c r="I15" s="27">
        <v>125414.07</v>
      </c>
      <c r="K15" s="27">
        <v>147907.76</v>
      </c>
      <c r="M15" s="27">
        <f>SUM(E15,G15,I15,K15)</f>
        <v>4993013.71</v>
      </c>
      <c r="N15" s="8"/>
      <c r="T15" s="31"/>
      <c r="U15" s="31"/>
      <c r="V15" s="31"/>
      <c r="W15" s="31"/>
      <c r="X15" s="31"/>
    </row>
    <row r="16" spans="1:24" x14ac:dyDescent="0.3">
      <c r="C16" s="26" t="s">
        <v>31</v>
      </c>
      <c r="D16" s="26"/>
      <c r="E16" s="26" t="s">
        <v>28</v>
      </c>
      <c r="F16" s="26"/>
      <c r="G16" s="26" t="s">
        <v>29</v>
      </c>
      <c r="H16" s="26"/>
      <c r="I16" s="26" t="s">
        <v>45</v>
      </c>
      <c r="J16" s="26"/>
      <c r="K16" s="26" t="s">
        <v>46</v>
      </c>
      <c r="L16" s="26"/>
      <c r="M16" s="26" t="s">
        <v>30</v>
      </c>
      <c r="N16" s="8"/>
      <c r="T16" s="31"/>
      <c r="U16" s="31"/>
      <c r="V16" s="31"/>
      <c r="W16" s="31"/>
      <c r="X16" s="31"/>
    </row>
    <row r="17" spans="1:24" x14ac:dyDescent="0.3">
      <c r="N17" s="8"/>
      <c r="T17" s="31"/>
      <c r="U17" s="31"/>
      <c r="V17" s="31"/>
      <c r="W17" s="31"/>
      <c r="X17" s="31"/>
    </row>
    <row r="18" spans="1:24" x14ac:dyDescent="0.3">
      <c r="N18" s="8"/>
      <c r="T18" s="31"/>
      <c r="U18" s="31"/>
      <c r="V18" s="31"/>
      <c r="W18" s="31"/>
      <c r="X18" s="31"/>
    </row>
    <row r="19" spans="1:24" x14ac:dyDescent="0.3">
      <c r="C19" s="25" t="s">
        <v>50</v>
      </c>
      <c r="E19" s="27">
        <v>2006276</v>
      </c>
      <c r="G19" s="27">
        <v>813806</v>
      </c>
      <c r="I19" s="27">
        <v>180902</v>
      </c>
      <c r="K19" s="27">
        <v>65800</v>
      </c>
      <c r="M19" s="27">
        <f>SUM(E19:K19)</f>
        <v>3066784</v>
      </c>
      <c r="N19" s="8"/>
      <c r="T19" s="31"/>
      <c r="U19" s="31"/>
      <c r="V19" s="31"/>
      <c r="W19" s="31"/>
      <c r="X19" s="31"/>
    </row>
    <row r="20" spans="1:24" x14ac:dyDescent="0.3">
      <c r="C20" s="26" t="s">
        <v>32</v>
      </c>
      <c r="D20" s="26"/>
      <c r="E20" s="26" t="s">
        <v>28</v>
      </c>
      <c r="F20" s="26"/>
      <c r="G20" s="26" t="s">
        <v>29</v>
      </c>
      <c r="H20" s="26"/>
      <c r="I20" s="26" t="s">
        <v>45</v>
      </c>
      <c r="J20" s="26"/>
      <c r="K20" s="26" t="s">
        <v>46</v>
      </c>
      <c r="L20" s="26"/>
      <c r="M20" s="26" t="s">
        <v>30</v>
      </c>
      <c r="N20" s="8"/>
      <c r="T20" s="31"/>
      <c r="U20" s="31"/>
      <c r="V20" s="31"/>
      <c r="W20" s="31"/>
      <c r="X20" s="31"/>
    </row>
    <row r="21" spans="1:24" x14ac:dyDescent="0.3">
      <c r="N21" s="8"/>
      <c r="T21" s="31"/>
      <c r="U21" s="31"/>
      <c r="V21" s="31"/>
      <c r="W21" s="31"/>
      <c r="X21" s="31"/>
    </row>
    <row r="22" spans="1:24" x14ac:dyDescent="0.3">
      <c r="N22" s="8"/>
      <c r="T22" s="31"/>
      <c r="U22" s="31"/>
      <c r="V22" s="31"/>
      <c r="W22" s="31"/>
      <c r="X22" s="31"/>
    </row>
    <row r="23" spans="1:24" x14ac:dyDescent="0.3">
      <c r="C23" s="25" t="s">
        <v>49</v>
      </c>
      <c r="E23" s="27">
        <v>3615086</v>
      </c>
      <c r="G23" s="27">
        <v>501087</v>
      </c>
      <c r="I23" s="27">
        <v>168501</v>
      </c>
      <c r="K23" s="27">
        <v>66022</v>
      </c>
      <c r="M23" s="27">
        <f>SUM(E23,G23,I23,K23)</f>
        <v>4350696</v>
      </c>
      <c r="N23" s="8"/>
      <c r="T23" s="31"/>
      <c r="U23" s="31"/>
      <c r="V23" s="31"/>
      <c r="W23" s="31"/>
      <c r="X23" s="31"/>
    </row>
    <row r="24" spans="1:24" x14ac:dyDescent="0.3">
      <c r="C24" s="26" t="s">
        <v>33</v>
      </c>
      <c r="D24" s="26"/>
      <c r="E24" s="26" t="s">
        <v>28</v>
      </c>
      <c r="F24" s="26"/>
      <c r="G24" s="26" t="s">
        <v>29</v>
      </c>
      <c r="H24" s="26"/>
      <c r="I24" s="26" t="s">
        <v>45</v>
      </c>
      <c r="J24" s="26"/>
      <c r="K24" s="26" t="s">
        <v>46</v>
      </c>
      <c r="L24" s="26"/>
      <c r="M24" s="26" t="s">
        <v>30</v>
      </c>
      <c r="N24" s="26"/>
      <c r="T24" s="31"/>
      <c r="U24" s="31"/>
      <c r="V24" s="31"/>
      <c r="W24" s="31"/>
      <c r="X24" s="31"/>
    </row>
    <row r="25" spans="1:24" x14ac:dyDescent="0.3"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T25" s="31"/>
      <c r="U25" s="31"/>
      <c r="V25" s="31"/>
      <c r="W25" s="31"/>
      <c r="X25" s="31"/>
    </row>
    <row r="26" spans="1:24" x14ac:dyDescent="0.3"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T26" s="31"/>
      <c r="U26" s="31"/>
      <c r="V26" s="31"/>
      <c r="W26" s="31"/>
      <c r="X26" s="31"/>
    </row>
    <row r="27" spans="1:24" ht="18" x14ac:dyDescent="0.35">
      <c r="A27" s="33"/>
      <c r="B27" s="46" t="s">
        <v>34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1"/>
      <c r="U27" s="31"/>
      <c r="V27" s="31"/>
      <c r="W27" s="31"/>
      <c r="X27" s="31"/>
    </row>
    <row r="28" spans="1:24" x14ac:dyDescent="0.3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1"/>
      <c r="U28" s="31"/>
      <c r="V28" s="31"/>
      <c r="W28" s="31"/>
      <c r="X28" s="31"/>
    </row>
    <row r="29" spans="1:24" x14ac:dyDescent="0.3">
      <c r="A29" s="33"/>
      <c r="B29" s="33"/>
      <c r="C29" s="33" t="s">
        <v>35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1"/>
      <c r="U29" s="31"/>
      <c r="V29" s="31"/>
      <c r="W29" s="31"/>
      <c r="X29" s="31"/>
    </row>
    <row r="30" spans="1:24" x14ac:dyDescent="0.3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1"/>
      <c r="U30" s="31"/>
      <c r="V30" s="31"/>
      <c r="W30" s="31"/>
      <c r="X30" s="31"/>
    </row>
    <row r="31" spans="1:24" x14ac:dyDescent="0.3">
      <c r="A31" s="47"/>
      <c r="B31" s="47"/>
      <c r="C31" s="47"/>
      <c r="D31" s="47"/>
      <c r="E31" s="47"/>
      <c r="F31" s="47"/>
      <c r="G31" s="47"/>
      <c r="H31" s="47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1"/>
      <c r="U31" s="31"/>
      <c r="V31" s="31"/>
      <c r="W31" s="31"/>
      <c r="X31" s="31"/>
    </row>
    <row r="32" spans="1:24" x14ac:dyDescent="0.3">
      <c r="A32" s="47"/>
      <c r="B32" s="47"/>
      <c r="C32" s="25" t="s">
        <v>50</v>
      </c>
      <c r="D32" s="47"/>
      <c r="E32" s="21">
        <v>2064</v>
      </c>
      <c r="F32" s="47"/>
      <c r="G32" s="27">
        <v>397076.17</v>
      </c>
      <c r="H32" s="47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1"/>
      <c r="U32" s="31"/>
      <c r="V32" s="31"/>
      <c r="W32" s="31"/>
      <c r="X32" s="31"/>
    </row>
    <row r="33" spans="1:36" ht="28.8" x14ac:dyDescent="0.3">
      <c r="C33" s="26" t="s">
        <v>27</v>
      </c>
      <c r="D33" s="26"/>
      <c r="E33" s="28" t="s">
        <v>36</v>
      </c>
      <c r="F33" s="26"/>
      <c r="G33" s="28" t="s">
        <v>37</v>
      </c>
      <c r="H33" s="26"/>
      <c r="I33" s="44"/>
      <c r="J33" s="44"/>
      <c r="K33" s="44"/>
      <c r="L33" s="44"/>
      <c r="M33" s="44"/>
      <c r="N33" s="44"/>
      <c r="T33" s="31"/>
      <c r="U33" s="31"/>
      <c r="V33" s="31"/>
      <c r="AC33" s="59"/>
      <c r="AD33" s="60"/>
      <c r="AE33" s="60"/>
      <c r="AF33" s="60"/>
      <c r="AG33" s="60"/>
      <c r="AH33" s="60"/>
      <c r="AI33" s="60"/>
      <c r="AJ33" s="60"/>
    </row>
    <row r="34" spans="1:36" x14ac:dyDescent="0.3">
      <c r="I34" s="31"/>
      <c r="J34" s="31"/>
      <c r="K34" s="31"/>
      <c r="L34" s="31"/>
      <c r="M34" s="31"/>
      <c r="T34" s="31"/>
      <c r="U34" s="31"/>
      <c r="V34" s="31"/>
      <c r="AC34" s="60"/>
      <c r="AD34" s="60"/>
      <c r="AE34" s="60"/>
      <c r="AF34" s="60"/>
      <c r="AG34" s="60"/>
      <c r="AH34" s="60"/>
      <c r="AI34" s="60"/>
      <c r="AJ34" s="60"/>
    </row>
    <row r="35" spans="1:36" x14ac:dyDescent="0.3">
      <c r="C35" s="26"/>
      <c r="D35" s="26"/>
      <c r="E35" s="26"/>
      <c r="F35" s="26"/>
      <c r="G35" s="26"/>
      <c r="H35" s="26"/>
      <c r="I35" s="44"/>
      <c r="J35" s="31"/>
      <c r="K35" s="31"/>
      <c r="L35" s="31"/>
      <c r="M35" s="31"/>
      <c r="T35" s="31"/>
      <c r="U35" s="31"/>
      <c r="V35" s="31"/>
      <c r="AC35" s="60"/>
      <c r="AD35" s="60"/>
      <c r="AE35" s="60"/>
      <c r="AF35" s="60"/>
      <c r="AG35" s="60"/>
      <c r="AH35" s="60"/>
      <c r="AI35" s="60"/>
      <c r="AJ35" s="60"/>
    </row>
    <row r="36" spans="1:36" x14ac:dyDescent="0.3">
      <c r="C36" s="25" t="s">
        <v>49</v>
      </c>
      <c r="D36" s="47"/>
      <c r="E36" s="21">
        <v>2385</v>
      </c>
      <c r="F36" s="47"/>
      <c r="G36" s="27">
        <v>437174.62</v>
      </c>
      <c r="H36" s="26"/>
      <c r="I36" s="44"/>
      <c r="J36" s="31"/>
      <c r="K36" s="31"/>
      <c r="L36" s="31"/>
      <c r="M36" s="31"/>
      <c r="T36" s="31"/>
      <c r="U36" s="31"/>
      <c r="V36" s="31"/>
      <c r="AC36" s="60"/>
      <c r="AD36" s="60"/>
      <c r="AE36" s="60"/>
      <c r="AF36" s="60"/>
      <c r="AG36" s="60"/>
      <c r="AH36" s="60"/>
      <c r="AI36" s="60"/>
      <c r="AJ36" s="60"/>
    </row>
    <row r="37" spans="1:36" ht="28.8" x14ac:dyDescent="0.3">
      <c r="C37" s="26" t="s">
        <v>31</v>
      </c>
      <c r="D37" s="26"/>
      <c r="E37" s="28" t="s">
        <v>36</v>
      </c>
      <c r="F37" s="26"/>
      <c r="G37" s="28" t="s">
        <v>37</v>
      </c>
      <c r="H37" s="26"/>
      <c r="I37" s="44"/>
      <c r="J37" s="31"/>
      <c r="K37" s="31"/>
      <c r="L37" s="31"/>
      <c r="M37" s="31"/>
      <c r="T37" s="31"/>
      <c r="U37" s="31"/>
      <c r="V37" s="31"/>
      <c r="AC37" s="64"/>
      <c r="AD37" s="64"/>
      <c r="AE37" s="64"/>
      <c r="AF37" s="64"/>
      <c r="AG37" s="64"/>
      <c r="AH37" s="64"/>
      <c r="AI37" s="64"/>
      <c r="AJ37" s="64"/>
    </row>
    <row r="38" spans="1:36" x14ac:dyDescent="0.3">
      <c r="C38" s="26"/>
      <c r="D38" s="26"/>
      <c r="E38" s="26"/>
      <c r="F38" s="26"/>
      <c r="G38" s="26"/>
      <c r="H38" s="26"/>
      <c r="I38" s="44"/>
      <c r="J38" s="31"/>
      <c r="K38" s="31"/>
      <c r="L38" s="31"/>
      <c r="M38" s="31"/>
      <c r="T38" s="31"/>
      <c r="U38" s="31"/>
      <c r="V38" s="31"/>
      <c r="AC38" s="64"/>
      <c r="AD38" s="64"/>
      <c r="AE38" s="64"/>
      <c r="AF38" s="64"/>
      <c r="AG38" s="64"/>
      <c r="AH38" s="64"/>
      <c r="AI38" s="64"/>
      <c r="AJ38" s="64"/>
    </row>
    <row r="39" spans="1:36" x14ac:dyDescent="0.3">
      <c r="C39" s="26"/>
      <c r="D39" s="26"/>
      <c r="E39" s="26"/>
      <c r="F39" s="26"/>
      <c r="G39" s="26"/>
      <c r="H39" s="26"/>
      <c r="I39" s="44"/>
      <c r="J39" s="31"/>
      <c r="K39" s="31"/>
      <c r="L39" s="31"/>
      <c r="M39" s="31"/>
      <c r="T39" s="31"/>
      <c r="U39" s="31"/>
      <c r="V39" s="31"/>
    </row>
    <row r="40" spans="1:36" x14ac:dyDescent="0.3">
      <c r="C40" s="25" t="s">
        <v>50</v>
      </c>
      <c r="D40" s="26"/>
      <c r="E40" s="21">
        <v>2215</v>
      </c>
      <c r="F40" s="26"/>
      <c r="G40" s="27">
        <v>394998.95</v>
      </c>
      <c r="H40" s="26"/>
      <c r="I40" s="44"/>
      <c r="J40" s="31"/>
      <c r="K40" s="31"/>
      <c r="L40" s="31"/>
      <c r="M40" s="31"/>
      <c r="T40" s="31"/>
      <c r="U40" s="31"/>
      <c r="V40" s="31"/>
    </row>
    <row r="41" spans="1:36" ht="28.8" x14ac:dyDescent="0.3">
      <c r="C41" s="26" t="s">
        <v>32</v>
      </c>
      <c r="D41" s="26"/>
      <c r="E41" s="28" t="s">
        <v>36</v>
      </c>
      <c r="F41" s="26"/>
      <c r="G41" s="28" t="s">
        <v>37</v>
      </c>
      <c r="H41" s="26"/>
      <c r="I41" s="44"/>
      <c r="J41" s="31"/>
      <c r="K41" s="31"/>
      <c r="L41" s="31"/>
      <c r="M41" s="31"/>
      <c r="T41" s="31"/>
      <c r="U41" s="31"/>
      <c r="V41" s="31"/>
    </row>
    <row r="42" spans="1:36" x14ac:dyDescent="0.3">
      <c r="C42" s="26"/>
      <c r="D42" s="26"/>
      <c r="E42" s="26"/>
      <c r="F42" s="26"/>
      <c r="G42" s="26"/>
      <c r="H42" s="26"/>
      <c r="I42" s="44"/>
      <c r="J42" s="31"/>
      <c r="K42" s="31"/>
      <c r="L42" s="31"/>
      <c r="M42" s="31"/>
      <c r="T42" s="31"/>
      <c r="U42" s="31"/>
      <c r="V42" s="31"/>
    </row>
    <row r="43" spans="1:36" x14ac:dyDescent="0.3">
      <c r="C43" s="26"/>
      <c r="D43" s="26"/>
      <c r="E43" s="26"/>
      <c r="F43" s="26"/>
      <c r="G43" s="26"/>
      <c r="H43" s="26"/>
      <c r="I43" s="44"/>
      <c r="J43" s="31"/>
      <c r="K43" s="31"/>
      <c r="L43" s="31"/>
      <c r="M43" s="31"/>
      <c r="T43" s="31"/>
      <c r="U43" s="31"/>
      <c r="V43" s="31"/>
    </row>
    <row r="44" spans="1:36" x14ac:dyDescent="0.3">
      <c r="C44" s="25" t="s">
        <v>49</v>
      </c>
      <c r="D44" s="26"/>
      <c r="E44" s="21">
        <v>2250</v>
      </c>
      <c r="F44" s="26"/>
      <c r="G44" s="27">
        <v>343098.53</v>
      </c>
      <c r="H44" s="26"/>
      <c r="I44" s="44"/>
      <c r="J44" s="31"/>
      <c r="K44" s="31"/>
      <c r="L44" s="31"/>
      <c r="M44" s="31"/>
      <c r="T44" s="31"/>
      <c r="U44" s="31"/>
      <c r="V44" s="31"/>
    </row>
    <row r="45" spans="1:36" ht="28.8" x14ac:dyDescent="0.3">
      <c r="C45" s="26" t="s">
        <v>33</v>
      </c>
      <c r="D45" s="26"/>
      <c r="E45" s="28" t="s">
        <v>36</v>
      </c>
      <c r="F45" s="26"/>
      <c r="G45" s="28" t="s">
        <v>37</v>
      </c>
      <c r="H45" s="26"/>
      <c r="I45" s="44"/>
      <c r="J45" s="31"/>
      <c r="K45" s="31"/>
      <c r="L45" s="31"/>
      <c r="M45" s="31"/>
      <c r="T45" s="31"/>
      <c r="U45" s="31"/>
      <c r="V45" s="31"/>
    </row>
    <row r="46" spans="1:36" x14ac:dyDescent="0.3">
      <c r="C46" s="26"/>
      <c r="D46" s="26"/>
      <c r="E46" s="26"/>
      <c r="F46" s="26"/>
      <c r="G46" s="26"/>
      <c r="H46" s="26"/>
      <c r="I46" s="44"/>
      <c r="J46" s="31"/>
      <c r="K46" s="31"/>
      <c r="L46" s="31"/>
      <c r="M46" s="31"/>
      <c r="T46" s="31"/>
      <c r="U46" s="31"/>
      <c r="V46" s="31"/>
    </row>
    <row r="47" spans="1:36" x14ac:dyDescent="0.3">
      <c r="A47" s="33"/>
      <c r="B47" s="33"/>
      <c r="C47" s="33"/>
      <c r="D47" s="33"/>
      <c r="E47" s="33"/>
      <c r="F47" s="33"/>
      <c r="G47" s="33"/>
      <c r="H47" s="33"/>
      <c r="I47" s="33"/>
      <c r="J47" s="31"/>
      <c r="K47" s="31"/>
      <c r="L47" s="31"/>
      <c r="M47" s="31"/>
      <c r="T47" s="31"/>
      <c r="U47" s="31"/>
      <c r="V47" s="31"/>
    </row>
    <row r="48" spans="1:36" ht="18" x14ac:dyDescent="0.35">
      <c r="A48" s="33"/>
      <c r="B48" s="46" t="s">
        <v>38</v>
      </c>
      <c r="C48" s="33"/>
      <c r="D48" s="33"/>
      <c r="E48" s="33"/>
      <c r="F48" s="33"/>
      <c r="G48" s="33"/>
      <c r="H48" s="33"/>
      <c r="I48" s="33"/>
      <c r="J48" s="31"/>
      <c r="K48" s="31"/>
      <c r="L48" s="31"/>
      <c r="M48" s="31"/>
      <c r="T48" s="31"/>
      <c r="U48" s="31"/>
      <c r="V48" s="31"/>
    </row>
    <row r="49" spans="1:22" x14ac:dyDescent="0.3">
      <c r="A49" s="33"/>
      <c r="B49" s="33"/>
      <c r="C49" s="33"/>
      <c r="D49" s="33"/>
      <c r="E49" s="33"/>
      <c r="F49" s="33"/>
      <c r="G49" s="33"/>
      <c r="H49" s="33"/>
      <c r="I49" s="33"/>
      <c r="J49" s="31"/>
      <c r="K49" s="31"/>
      <c r="L49" s="31"/>
      <c r="M49" s="31"/>
      <c r="T49" s="31"/>
      <c r="U49" s="31"/>
      <c r="V49" s="31"/>
    </row>
    <row r="50" spans="1:22" x14ac:dyDescent="0.3">
      <c r="A50" s="33"/>
      <c r="B50" s="33"/>
      <c r="C50" s="33" t="s">
        <v>39</v>
      </c>
      <c r="D50" s="33"/>
      <c r="E50" s="33"/>
      <c r="F50" s="33"/>
      <c r="G50" s="33"/>
      <c r="H50" s="33"/>
      <c r="I50" s="33"/>
      <c r="J50" s="31"/>
      <c r="K50" s="31"/>
      <c r="L50" s="31"/>
      <c r="M50" s="31"/>
      <c r="T50" s="31"/>
      <c r="U50" s="31"/>
      <c r="V50" s="31"/>
    </row>
    <row r="51" spans="1:22" x14ac:dyDescent="0.3">
      <c r="A51" s="33"/>
      <c r="B51" s="33"/>
      <c r="C51" s="33"/>
      <c r="D51" s="33"/>
      <c r="E51" s="33"/>
      <c r="F51" s="33"/>
      <c r="G51" s="33"/>
      <c r="H51" s="33"/>
      <c r="I51" s="33"/>
      <c r="J51" s="31"/>
      <c r="K51" s="31"/>
      <c r="L51" s="31"/>
      <c r="M51" s="31"/>
      <c r="T51" s="31"/>
      <c r="U51" s="31"/>
      <c r="V51" s="31"/>
    </row>
    <row r="52" spans="1:22" x14ac:dyDescent="0.3">
      <c r="C52" s="26"/>
      <c r="D52" s="26"/>
      <c r="E52" s="26"/>
      <c r="F52" s="26"/>
      <c r="G52" s="26"/>
      <c r="H52" s="26"/>
      <c r="I52" s="26"/>
      <c r="K52" s="31"/>
      <c r="L52" s="31"/>
      <c r="M52" s="31"/>
      <c r="T52" s="31"/>
      <c r="U52" s="31"/>
      <c r="V52" s="31"/>
    </row>
    <row r="53" spans="1:22" x14ac:dyDescent="0.3">
      <c r="C53" s="25" t="s">
        <v>50</v>
      </c>
      <c r="D53" s="26"/>
      <c r="E53" s="27">
        <v>3689097</v>
      </c>
      <c r="F53" s="26"/>
      <c r="G53" s="25" t="s">
        <v>49</v>
      </c>
      <c r="H53" s="26"/>
      <c r="I53" s="27">
        <v>1823825.91</v>
      </c>
      <c r="K53" s="31"/>
      <c r="L53" s="31"/>
      <c r="M53" s="31"/>
      <c r="T53" s="31"/>
      <c r="U53" s="31"/>
      <c r="V53" s="31"/>
    </row>
    <row r="54" spans="1:22" x14ac:dyDescent="0.3">
      <c r="C54" s="26" t="s">
        <v>27</v>
      </c>
      <c r="D54" s="26"/>
      <c r="E54" s="28" t="s">
        <v>40</v>
      </c>
      <c r="F54" s="26"/>
      <c r="G54" s="26" t="s">
        <v>27</v>
      </c>
      <c r="H54" s="26"/>
      <c r="I54" s="28" t="s">
        <v>40</v>
      </c>
      <c r="J54" s="26"/>
      <c r="K54" s="31"/>
      <c r="L54" s="31"/>
      <c r="M54" s="31"/>
      <c r="T54" s="31"/>
      <c r="U54" s="31"/>
      <c r="V54" s="31"/>
    </row>
    <row r="55" spans="1:22" x14ac:dyDescent="0.3">
      <c r="C55" s="26"/>
      <c r="D55" s="26"/>
      <c r="E55" s="26"/>
      <c r="F55" s="26"/>
      <c r="G55" s="26"/>
      <c r="H55" s="26"/>
      <c r="I55" s="26"/>
      <c r="J55" s="26"/>
      <c r="K55" s="31"/>
      <c r="L55" s="31"/>
      <c r="M55" s="31"/>
      <c r="T55" s="31"/>
      <c r="U55" s="31"/>
      <c r="V55" s="31"/>
    </row>
    <row r="56" spans="1:22" x14ac:dyDescent="0.3">
      <c r="C56" s="26"/>
      <c r="D56" s="26"/>
      <c r="E56" s="26"/>
      <c r="F56" s="26"/>
      <c r="G56" s="26"/>
      <c r="H56" s="26"/>
      <c r="I56" s="26"/>
      <c r="J56" s="26"/>
      <c r="K56" s="31"/>
      <c r="L56" s="31"/>
      <c r="M56" s="31"/>
      <c r="T56" s="31"/>
      <c r="U56" s="31"/>
      <c r="V56" s="31"/>
    </row>
    <row r="57" spans="1:22" x14ac:dyDescent="0.3">
      <c r="C57" s="26"/>
      <c r="D57" s="26"/>
      <c r="E57" s="26"/>
      <c r="F57" s="26"/>
      <c r="G57" s="26"/>
      <c r="H57" s="26"/>
      <c r="I57" s="26"/>
      <c r="J57" s="26"/>
      <c r="K57" s="31"/>
      <c r="L57" s="31"/>
      <c r="M57" s="31"/>
      <c r="T57" s="31"/>
      <c r="U57" s="31"/>
      <c r="V57" s="31"/>
    </row>
    <row r="58" spans="1:22" x14ac:dyDescent="0.3">
      <c r="C58" s="25" t="s">
        <v>50</v>
      </c>
      <c r="D58" s="26"/>
      <c r="E58" s="27">
        <v>3472022</v>
      </c>
      <c r="F58" s="26"/>
      <c r="G58" s="25" t="s">
        <v>49</v>
      </c>
      <c r="H58" s="26"/>
      <c r="I58" s="27">
        <v>1737945.16</v>
      </c>
      <c r="J58" s="26"/>
      <c r="K58" s="31"/>
      <c r="L58" s="31"/>
      <c r="M58" s="31"/>
      <c r="T58" s="31"/>
      <c r="U58" s="31"/>
      <c r="V58" s="31"/>
    </row>
    <row r="59" spans="1:22" ht="28.8" x14ac:dyDescent="0.3">
      <c r="C59" s="28" t="s">
        <v>41</v>
      </c>
      <c r="D59" s="26"/>
      <c r="E59" s="28" t="s">
        <v>40</v>
      </c>
      <c r="F59" s="26"/>
      <c r="G59" s="28" t="s">
        <v>42</v>
      </c>
      <c r="H59" s="26"/>
      <c r="I59" s="28" t="s">
        <v>40</v>
      </c>
      <c r="J59" s="26"/>
      <c r="K59" s="31"/>
      <c r="L59" s="31"/>
      <c r="M59" s="31"/>
      <c r="T59" s="31"/>
      <c r="U59" s="31"/>
      <c r="V59" s="31"/>
    </row>
    <row r="60" spans="1:22" x14ac:dyDescent="0.3">
      <c r="C60" s="26"/>
      <c r="D60" s="26"/>
      <c r="E60" s="26"/>
      <c r="F60" s="26"/>
      <c r="G60" s="26"/>
      <c r="H60" s="26"/>
      <c r="I60" s="26"/>
      <c r="J60" s="26"/>
      <c r="K60" s="31"/>
      <c r="L60" s="31"/>
      <c r="M60" s="31"/>
      <c r="T60" s="31"/>
      <c r="U60" s="31"/>
      <c r="V60" s="31"/>
    </row>
    <row r="61" spans="1:22" x14ac:dyDescent="0.3">
      <c r="A61" s="31"/>
      <c r="B61" s="31"/>
      <c r="C61" s="44"/>
      <c r="D61" s="44"/>
      <c r="E61" s="44"/>
      <c r="F61" s="44"/>
      <c r="G61" s="44" t="s">
        <v>58</v>
      </c>
      <c r="H61" s="44"/>
      <c r="I61" s="44"/>
      <c r="J61" s="44"/>
      <c r="K61" s="31"/>
      <c r="L61" s="31"/>
      <c r="M61" s="31"/>
      <c r="T61" s="31"/>
      <c r="U61" s="31"/>
      <c r="V61" s="31"/>
    </row>
    <row r="62" spans="1:22" x14ac:dyDescent="0.3">
      <c r="A62" s="31"/>
      <c r="B62" s="31"/>
      <c r="C62" s="44"/>
      <c r="D62" s="44"/>
      <c r="E62" s="44"/>
      <c r="F62" s="44"/>
      <c r="G62" s="31"/>
      <c r="H62" s="44"/>
      <c r="I62" s="44"/>
      <c r="J62" s="44"/>
      <c r="K62" s="31"/>
      <c r="L62" s="31"/>
      <c r="M62" s="31"/>
      <c r="T62" s="31"/>
      <c r="U62" s="31"/>
      <c r="V62" s="31"/>
    </row>
    <row r="63" spans="1:22" x14ac:dyDescent="0.3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T63" s="31"/>
      <c r="U63" s="31"/>
      <c r="V63" s="31"/>
    </row>
    <row r="64" spans="1:22" x14ac:dyDescent="0.3">
      <c r="A64" s="31"/>
      <c r="B64" s="31"/>
      <c r="C64" s="31"/>
      <c r="D64" s="31"/>
      <c r="E64" s="31"/>
      <c r="F64" s="31"/>
      <c r="G64" s="31" t="s">
        <v>60</v>
      </c>
      <c r="H64" s="31"/>
      <c r="I64" s="31"/>
      <c r="J64" s="31"/>
      <c r="K64" s="31"/>
      <c r="L64" s="31"/>
      <c r="M64" s="31"/>
      <c r="T64" s="31"/>
      <c r="U64" s="31"/>
      <c r="V64" s="31"/>
    </row>
    <row r="65" spans="1:22" x14ac:dyDescent="0.3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T65" s="31"/>
      <c r="U65" s="31"/>
      <c r="V65" s="31"/>
    </row>
    <row r="66" spans="1:22" x14ac:dyDescent="0.3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T66" s="31"/>
      <c r="U66" s="31"/>
      <c r="V66" s="31"/>
    </row>
    <row r="67" spans="1:22" x14ac:dyDescent="0.3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T67" s="31"/>
      <c r="U67" s="31"/>
      <c r="V67" s="31"/>
    </row>
    <row r="68" spans="1:22" x14ac:dyDescent="0.3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T68" s="31"/>
      <c r="U68" s="31"/>
      <c r="V68" s="31"/>
    </row>
    <row r="69" spans="1:22" x14ac:dyDescent="0.3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T69" s="31"/>
      <c r="U69" s="31"/>
      <c r="V69" s="31"/>
    </row>
    <row r="70" spans="1:22" x14ac:dyDescent="0.3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T70" s="31"/>
      <c r="U70" s="31"/>
      <c r="V70" s="31"/>
    </row>
    <row r="71" spans="1:22" x14ac:dyDescent="0.3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</row>
    <row r="72" spans="1:22" x14ac:dyDescent="0.3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</row>
    <row r="73" spans="1:22" x14ac:dyDescent="0.3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</row>
    <row r="74" spans="1:22" x14ac:dyDescent="0.3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</row>
    <row r="75" spans="1:22" x14ac:dyDescent="0.3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</row>
    <row r="76" spans="1:22" x14ac:dyDescent="0.3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</row>
    <row r="77" spans="1:22" x14ac:dyDescent="0.3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</row>
    <row r="78" spans="1:22" x14ac:dyDescent="0.3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</row>
    <row r="79" spans="1:22" x14ac:dyDescent="0.3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</row>
    <row r="80" spans="1:22" x14ac:dyDescent="0.3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</row>
    <row r="81" spans="1:13" x14ac:dyDescent="0.3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</row>
    <row r="82" spans="1:13" x14ac:dyDescent="0.3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 spans="1:13" x14ac:dyDescent="0.3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</row>
    <row r="84" spans="1:13" x14ac:dyDescent="0.3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</row>
  </sheetData>
  <mergeCells count="5">
    <mergeCell ref="AC33:AJ36"/>
    <mergeCell ref="AC37:AJ38"/>
    <mergeCell ref="A3:N3"/>
    <mergeCell ref="A1:N1"/>
    <mergeCell ref="A2:N2"/>
  </mergeCells>
  <phoneticPr fontId="19" type="noConversion"/>
  <pageMargins left="0.2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David Simmons</cp:lastModifiedBy>
  <cp:lastPrinted>2020-10-14T13:53:09Z</cp:lastPrinted>
  <dcterms:created xsi:type="dcterms:W3CDTF">2020-04-08T14:34:01Z</dcterms:created>
  <dcterms:modified xsi:type="dcterms:W3CDTF">2020-11-13T12:32:40Z</dcterms:modified>
</cp:coreProperties>
</file>